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12240" windowHeight="2685" activeTab="0"/>
  </bookViews>
  <sheets>
    <sheet name="FS (3)" sheetId="1" r:id="rId1"/>
  </sheets>
  <definedNames>
    <definedName name="_xlnm.Print_Area" localSheetId="0">'FS (3)'!$A$1:$IS$563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B10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Includes NCLP</t>
        </r>
      </text>
    </comment>
  </commentList>
</comments>
</file>

<file path=xl/sharedStrings.xml><?xml version="1.0" encoding="utf-8"?>
<sst xmlns="http://schemas.openxmlformats.org/spreadsheetml/2006/main" count="757" uniqueCount="299">
  <si>
    <t>Government of India</t>
  </si>
  <si>
    <t>National Programme of Mid-Day Meal in Schools</t>
  </si>
  <si>
    <t>Part-D: ANALYSIS SHEET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</si>
  <si>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</si>
  <si>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</si>
  <si>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</si>
  <si>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</si>
  <si>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</si>
  <si>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</si>
  <si>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</si>
  <si>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</si>
  <si>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</si>
  <si>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</si>
  <si>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</si>
  <si>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</si>
  <si>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</si>
  <si>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</si>
  <si>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</si>
  <si>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</si>
  <si>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</si>
  <si>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</si>
  <si>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</si>
  <si>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</si>
  <si>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</si>
  <si>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</si>
  <si>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</si>
  <si>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</si>
  <si>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Primary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</si>
  <si>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</si>
  <si>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</si>
  <si>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</si>
  <si>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</si>
  <si>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</si>
  <si>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</si>
  <si>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</si>
  <si>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</si>
  <si>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</si>
  <si>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</si>
  <si>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</si>
  <si>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</si>
  <si>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</si>
  <si>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</si>
  <si>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</si>
  <si>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</si>
  <si>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</si>
  <si>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</si>
  <si>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</si>
  <si>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</si>
  <si>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</si>
  <si>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</si>
  <si>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</si>
  <si>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</si>
  <si>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</si>
  <si>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</si>
  <si>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</si>
  <si>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</si>
  <si>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</si>
  <si>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</si>
  <si>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</si>
  <si>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</si>
  <si>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</si>
  <si>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</si>
  <si>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</si>
  <si>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</si>
  <si>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</si>
  <si>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</si>
  <si>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</si>
  <si>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</si>
  <si>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</si>
  <si>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</si>
  <si>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</si>
  <si>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* Lifting reported by State</t>
  </si>
  <si>
    <t>Cooking assistance received*</t>
  </si>
  <si>
    <t>Utilisation of Cooking assistance*</t>
  </si>
  <si>
    <t>(2006-07)</t>
  </si>
  <si>
    <t>(2007-08)</t>
  </si>
  <si>
    <t>(2008-09)</t>
  </si>
  <si>
    <t>(2009-10)</t>
  </si>
  <si>
    <t>Average</t>
  </si>
  <si>
    <r>
      <t>(i</t>
    </r>
    <r>
      <rPr>
        <i/>
        <sz val="10"/>
        <rFont val="Bookman Old Style"/>
        <family val="1"/>
      </rPr>
      <t>n MTs)</t>
    </r>
  </si>
  <si>
    <t xml:space="preserve">Stage </t>
  </si>
  <si>
    <t>Upp. Primary</t>
  </si>
  <si>
    <t>1.1.2)No. of Meals (Primary &amp; Upper Primary )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</si>
  <si>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</si>
  <si>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</si>
  <si>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</si>
  <si>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</si>
  <si>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</si>
  <si>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</si>
  <si>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</si>
  <si>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</si>
  <si>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</si>
  <si>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</si>
  <si>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</si>
  <si>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</si>
  <si>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</si>
  <si>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</si>
  <si>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</si>
  <si>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% payment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</si>
  <si>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</si>
  <si>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</si>
  <si>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</si>
  <si>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</si>
  <si>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</si>
  <si>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</si>
  <si>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</si>
  <si>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</si>
  <si>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</si>
  <si>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</si>
  <si>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</si>
  <si>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</si>
  <si>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</si>
  <si>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</si>
  <si>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>(Rs. in Lakhs)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</si>
  <si>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</si>
  <si>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</si>
  <si>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</si>
  <si>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</si>
  <si>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</si>
  <si>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</si>
  <si>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</si>
  <si>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</si>
  <si>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</si>
  <si>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</si>
  <si>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</si>
  <si>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</si>
  <si>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</si>
  <si>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</si>
  <si>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py</t>
  </si>
  <si>
    <t>expected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</si>
  <si>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</si>
  <si>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</si>
  <si>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</si>
  <si>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</si>
  <si>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(2010-11)</t>
  </si>
  <si>
    <t>Achievement (C+IP)                                  upto 31.12.11</t>
  </si>
  <si>
    <t xml:space="preserve">S.no </t>
  </si>
  <si>
    <t xml:space="preserve">Primary </t>
  </si>
  <si>
    <t xml:space="preserve">Upper Primary </t>
  </si>
  <si>
    <t>3.9) Payment of Cost of foodgrains to FCI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</si>
  <si>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</si>
  <si>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</si>
  <si>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</si>
  <si>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</si>
  <si>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</si>
  <si>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</si>
  <si>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</si>
  <si>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NCLP</t>
  </si>
  <si>
    <t>Pry</t>
  </si>
  <si>
    <t>U Pry</t>
  </si>
  <si>
    <t>No. of Institution</t>
  </si>
  <si>
    <t xml:space="preserve">2.2  Coverage of children against PAB approval of children                     </t>
  </si>
  <si>
    <t>2.3  Coverage of children  against enrolemnt</t>
  </si>
  <si>
    <t>4.1) ANALYSIS ON OPENING BALANCE AND CLOSING BALANCE</t>
  </si>
  <si>
    <t>6=(4-5)</t>
  </si>
  <si>
    <t>8=(2-5)</t>
  </si>
  <si>
    <t>DIMAPUR</t>
  </si>
  <si>
    <t>KIPHIRE</t>
  </si>
  <si>
    <t>KOHIMA</t>
  </si>
  <si>
    <t>LONGLENG</t>
  </si>
  <si>
    <t>MOKOKCHUNG</t>
  </si>
  <si>
    <t>MON</t>
  </si>
  <si>
    <t>PEREN</t>
  </si>
  <si>
    <t>PHEK</t>
  </si>
  <si>
    <t>TUENSANG</t>
  </si>
  <si>
    <t>WOKHA</t>
  </si>
  <si>
    <t>ZUNHEBOTO</t>
  </si>
  <si>
    <t>U Pry with Pry</t>
  </si>
  <si>
    <t>U Pry w/o Pry</t>
  </si>
  <si>
    <t>No. of Institutions</t>
  </si>
  <si>
    <t>Utilization</t>
  </si>
  <si>
    <t>NAGALAND</t>
  </si>
  <si>
    <t>(2012-13)*</t>
  </si>
  <si>
    <t>Total Avg. no. of children availing MDM includes Dimapur (NCLP) children</t>
  </si>
  <si>
    <t>Meal</t>
  </si>
  <si>
    <t>FG Expect</t>
  </si>
  <si>
    <t>(2011-12)</t>
  </si>
  <si>
    <t>phy</t>
  </si>
  <si>
    <t>fin</t>
  </si>
  <si>
    <t xml:space="preserve">MDM PAB Approval         </t>
  </si>
  <si>
    <t xml:space="preserve">Total no. of Meals claimed to have served </t>
  </si>
  <si>
    <t>4.2) Cooking cost allocation and disbursed to Districts</t>
  </si>
  <si>
    <t>4.3)  District-wise Cooking Cost availability</t>
  </si>
  <si>
    <t>4.4) Cooking Cost Utilisation</t>
  </si>
  <si>
    <t>4.5)  District-wise Utilisation of Cooking cost</t>
  </si>
  <si>
    <t xml:space="preserve">Average number of children availed MDM </t>
  </si>
  <si>
    <t xml:space="preserve">Amount received </t>
  </si>
  <si>
    <t>*For replacement</t>
  </si>
  <si>
    <t>Serving</t>
  </si>
  <si>
    <t xml:space="preserve">U Pry. </t>
  </si>
  <si>
    <t>Opening Stock</t>
  </si>
  <si>
    <t>Opening Balance</t>
  </si>
  <si>
    <t>Cooking Cost Received</t>
  </si>
  <si>
    <t>Expenditure</t>
  </si>
  <si>
    <r>
      <t xml:space="preserve">5.1 Mismatch between Utilisation of Foodgrains and Cooking Cost  </t>
    </r>
    <r>
      <rPr>
        <b/>
        <i/>
        <sz val="10"/>
        <rFont val="Cambria"/>
        <family val="1"/>
      </rPr>
      <t>(Source data: para 3.7 and 4.5 above)</t>
    </r>
  </si>
  <si>
    <t>Amount Received</t>
  </si>
  <si>
    <t>Payment to CCH</t>
  </si>
  <si>
    <t>(2012-13)</t>
  </si>
  <si>
    <t>(2013-14)</t>
  </si>
  <si>
    <t>(2014-15)</t>
  </si>
  <si>
    <t>(2014-15*)</t>
  </si>
  <si>
    <t>(2015-16)</t>
  </si>
  <si>
    <t>(2015-16*)</t>
  </si>
  <si>
    <t>Payment made to FCI#</t>
  </si>
  <si>
    <t>UB</t>
  </si>
  <si>
    <t>(2016-17)</t>
  </si>
  <si>
    <t>27.1.2017</t>
  </si>
  <si>
    <t>Annual Work Plan &amp; Budget  2018-19</t>
  </si>
  <si>
    <t>REVIEW OF IMPLEMENTATION OF MDM SCHEME DURING 2017-18 (1.4.17 to 31.3.18)</t>
  </si>
  <si>
    <t xml:space="preserve">1.2.1) No. of School working days         ( Base period 01.04.17 to 31.3.18) </t>
  </si>
  <si>
    <t>Actuals as per AWP&amp;B 2018-19 (AT-5 &amp;5A)</t>
  </si>
  <si>
    <t xml:space="preserve">Base period 01.04.17 to 31.03.18 </t>
  </si>
  <si>
    <t xml:space="preserve">ii) Base period 01.04.17to 31.03.18 (As per PAB aaproval = 220 days for  Py &amp; 220 days for U Py) </t>
  </si>
  <si>
    <t>No. of Meals as per PAB approval (01.04.17 to 31.3.18)</t>
  </si>
  <si>
    <t>No. of Meals served by State during the period 01.04.17 to 31.03.18</t>
  </si>
  <si>
    <t>2.1.1  Institutions- (Primary)                     *(Source data : Table AT-3A of AWP&amp;B 2018-19)</t>
  </si>
  <si>
    <t>2.1.2  Institutions- (Upper Primary)          *(Source data : Table AT-3B &amp; 3C of AWP&amp;B 2018-19)</t>
  </si>
  <si>
    <t>2.2.1  Coverage of children  ( Primary)                       *(Source data : Table AT-5  of AWP&amp;B 2018-19)</t>
  </si>
  <si>
    <t>2.2.2  Coverage of children  ( Upper Primary)                       *(Source data : Table AT-5A  of AWP&amp;B 2018-19)</t>
  </si>
  <si>
    <t>Sactioned during 2006-07 to 2018-19</t>
  </si>
  <si>
    <t>Achievement (C+IP)                                  upto 31.03.18</t>
  </si>
  <si>
    <t>9.2.2) Reconciliation of amount sanctioned (Refer AT-11, AWP&amp;B, 2018-19)</t>
  </si>
  <si>
    <t>Releases for Kitchen devices by GoI as on 31.03.17</t>
  </si>
  <si>
    <t>Sactioned by GoI during 2006-17</t>
  </si>
  <si>
    <t>9.1.2) Reconciliation of amount sanctioned (Refer AT-11, AWP&amp;B, 2018-19)</t>
  </si>
  <si>
    <t>Releases for Kitchen sheds by GoI as on 31.12.2017</t>
  </si>
  <si>
    <t>2.3.1  Coverage of children  ( Primary)                       *(Source data : Table AT-4  of AWP&amp;B 2018-19)</t>
  </si>
  <si>
    <t>2.3.2  Coverage of children  ( Upper Primary)                       *(Source data : Table AT-4A  of AWP&amp;B 2018-19)</t>
  </si>
  <si>
    <t>*(Refer col.6 of table AT- 5 , AWP&amp;B, 2018-19)</t>
  </si>
  <si>
    <t>No of meals to be served during 1/4/17 to 31/03/18</t>
  </si>
  <si>
    <t>*(Refer col. 6 of table AT- 5A , AWP&amp;B, 2018-19)</t>
  </si>
  <si>
    <t>District-wise opening balance as on 1.4.2017</t>
  </si>
  <si>
    <t>*(Refer  AT-6&amp; 6A, AWP&amp;B, 2018-19)</t>
  </si>
  <si>
    <t xml:space="preserve">Opening Stock as on 1.4.2017                                                      </t>
  </si>
  <si>
    <t>(Refer  AT- 6 and AT-6A, AWP&amp;B, 2018-19)</t>
  </si>
  <si>
    <t>OB as on 1.4.2017</t>
  </si>
  <si>
    <t>Lifting upto 31.03.18</t>
  </si>
  <si>
    <t>*(Refer col. 6 of table AT- 6 and AT-6A, AWP&amp;B, 2018-19)</t>
  </si>
  <si>
    <t>4.1.1) District-wise opening balance as on 1.4.2017</t>
  </si>
  <si>
    <t>*(Refer table AT- 7 and AT-7A, AWP&amp;B, 2018-19)</t>
  </si>
  <si>
    <t xml:space="preserve">Opening Balance as on 1.4.2017                                                    </t>
  </si>
  <si>
    <t>*(Refer  table AT- 7 and AT-7A, AWP&amp;B, 2018-19)</t>
  </si>
  <si>
    <t>4.1.2) District-wise unspent  balance as on 31.03.2018</t>
  </si>
  <si>
    <t>8.1)  Reconciliation of TA OB, Allocation &amp; Releasing [PY + U PY] (Refer AT-9, AWP&amp;B, 2018-19)</t>
  </si>
  <si>
    <t>8.2) Utilisation of TA during 2018-19</t>
  </si>
  <si>
    <t>(As on 31.12.17</t>
  </si>
  <si>
    <t>OB as on 1.4.17</t>
  </si>
  <si>
    <t xml:space="preserve">Opening Balance as on 1.4.2017                                                        </t>
  </si>
  <si>
    <t>No. of Meals served during 01.4.17 to 31.03.18</t>
  </si>
  <si>
    <t>No. of Meals served during 01.4.17 to 31.03.17</t>
  </si>
  <si>
    <t>Opening Balance as on 1.4.2017</t>
  </si>
  <si>
    <t>Refer table AT_8 and AT-8A,AWP&amp;B,2018-19</t>
  </si>
  <si>
    <t>7.1)  Reconciliation of MME OB, Allocation &amp; Releasing [PY + U PY] *(Refer AT-9, AWP&amp;B, 2018-19)</t>
  </si>
  <si>
    <t>2.4 No. of meals to be served &amp;  actual  no. of meals served during 201819 [PRIMARY]</t>
  </si>
  <si>
    <t>2.5) No. of meals to be served &amp;  actual  no. of meals served during 201819 [UPPER PRIMARY]</t>
  </si>
  <si>
    <t>*(Refer  AT- 6 and AT-6A, AWP&amp;B, 201819)</t>
  </si>
  <si>
    <t>% of OB on allocation 201819</t>
  </si>
  <si>
    <t xml:space="preserve">Allocation for 201819                                    </t>
  </si>
  <si>
    <t>Allocation for 201819</t>
  </si>
  <si>
    <t>7.2) Utilisation of MME during 201819</t>
  </si>
  <si>
    <t>9.  INFRASTRUCTURE DEVELOPMENT DURING 201819</t>
  </si>
  <si>
    <t>MDM PAB Approval for 2017-18</t>
  </si>
  <si>
    <t>No of working days approved for FY 2018-19</t>
  </si>
  <si>
    <t>No. of children as per PAB Approval for  2017-18</t>
  </si>
  <si>
    <t>No. of children as per Enrollment for  2017-18</t>
  </si>
  <si>
    <t>No of meal served during 2017-18</t>
  </si>
  <si>
    <t>Opening Stock as on 1.4.2017</t>
  </si>
  <si>
    <t>Allocation for 2017-18</t>
  </si>
  <si>
    <t>Lifting as on 31.13.2018</t>
  </si>
  <si>
    <t xml:space="preserve">Allocation for 2017-18                                </t>
  </si>
  <si>
    <t>% of OS on allocation 2017-18</t>
  </si>
  <si>
    <t xml:space="preserve">Unspent Balance as on 31.03.2018                                                     </t>
  </si>
  <si>
    <t>% of UB on allocation 2017-18</t>
  </si>
  <si>
    <t>3.3) District-wise unspent balance as on 31.03.2018</t>
  </si>
  <si>
    <t>3.5) District-wise Foodgrains availability  as on 31.03.18</t>
  </si>
  <si>
    <t xml:space="preserve">Unspent Balance as on 31.03.18                                                        </t>
  </si>
  <si>
    <t xml:space="preserve">Allocation for 2018-19                       </t>
  </si>
  <si>
    <t xml:space="preserve">Allocation for 2017-18                       </t>
  </si>
  <si>
    <t>Total Availibility of cooking cost as on 31.03.18</t>
  </si>
  <si>
    <t xml:space="preserve">Allocation for 2017-18                             </t>
  </si>
  <si>
    <t>Unspent balance as on 31.03.18</t>
  </si>
  <si>
    <t>% of UB as on Allocation 201718</t>
  </si>
  <si>
    <t>Released during 2017-18</t>
  </si>
  <si>
    <t>(As on 31.03.18</t>
  </si>
  <si>
    <t>Allocated for 2017-18</t>
  </si>
  <si>
    <t>(2017-18)</t>
  </si>
  <si>
    <t>2006-2018-19</t>
  </si>
  <si>
    <t>2006-2017-18</t>
  </si>
  <si>
    <t>1.2  No. of  Working Days Approved for FY 207-18</t>
  </si>
  <si>
    <t>U.Pry.</t>
  </si>
  <si>
    <t>5.2 Reconciliation of Food grains utilisation during 2017-18 (Source data: para 2.5 and 3.7 above)</t>
  </si>
  <si>
    <t>5. Reconciliation of Utilisation and Performance during 2017-18(PRIMARY+ UPPER PRIMARY]</t>
  </si>
  <si>
    <t>5.3) Reconciliation of Cooking Cost utilisation during 2017-18 (Source data: para 2.5 and 3.7 above)</t>
  </si>
  <si>
    <t>17.11.2006</t>
  </si>
  <si>
    <t>28.03.2008</t>
  </si>
  <si>
    <t>14.09.2009</t>
  </si>
  <si>
    <t>31.03.2011</t>
  </si>
  <si>
    <t>01.01.2013</t>
  </si>
  <si>
    <t>28.10.2014</t>
  </si>
</sst>
</file>

<file path=xl/styles.xml><?xml version="1.0" encoding="utf-8"?>
<styleSheet xmlns="http://schemas.openxmlformats.org/spreadsheetml/2006/main">
  <numFmts count="4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0.00000000000000%"/>
    <numFmt numFmtId="198" formatCode="0.000%"/>
    <numFmt numFmtId="199" formatCode="[$-4009]dd\ mmmm\ yyyy"/>
    <numFmt numFmtId="200" formatCode="0.000000000"/>
    <numFmt numFmtId="201" formatCode="0.0000000000"/>
    <numFmt numFmtId="202" formatCode="[$-409]dddd\,\ mmmm\ dd\,\ yyyy"/>
    <numFmt numFmtId="203" formatCode="[$-409]h:mm:ss\ AM/PM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b/>
      <sz val="11"/>
      <name val="Bookman Old Style"/>
      <family val="1"/>
    </font>
    <font>
      <b/>
      <u val="single"/>
      <sz val="12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Book Antiqua"/>
      <family val="1"/>
    </font>
    <font>
      <b/>
      <sz val="9"/>
      <name val="Bookman Old Style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1"/>
      <name val="Calibri"/>
      <family val="2"/>
    </font>
    <font>
      <b/>
      <sz val="16"/>
      <name val="Bookman Old Style"/>
      <family val="1"/>
    </font>
    <font>
      <b/>
      <sz val="20"/>
      <name val="Bookman Old Style"/>
      <family val="1"/>
    </font>
    <font>
      <sz val="10"/>
      <name val="Book Antiqua"/>
      <family val="1"/>
    </font>
    <font>
      <sz val="11"/>
      <name val="Calibri"/>
      <family val="2"/>
    </font>
    <font>
      <sz val="20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Cambria"/>
      <family val="1"/>
    </font>
    <font>
      <u val="single"/>
      <sz val="12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80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wrapText="1"/>
    </xf>
    <xf numFmtId="9" fontId="6" fillId="0" borderId="0" xfId="84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9" fontId="6" fillId="0" borderId="0" xfId="84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84" applyFont="1" applyBorder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top" wrapText="1"/>
    </xf>
    <xf numFmtId="9" fontId="6" fillId="0" borderId="0" xfId="84" applyFont="1" applyBorder="1" applyAlignment="1">
      <alignment horizontal="center" vertical="top" wrapText="1"/>
    </xf>
    <xf numFmtId="2" fontId="6" fillId="0" borderId="0" xfId="0" applyNumberFormat="1" applyFont="1" applyFill="1" applyAlignment="1">
      <alignment/>
    </xf>
    <xf numFmtId="9" fontId="5" fillId="0" borderId="0" xfId="84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9" fontId="6" fillId="0" borderId="0" xfId="84" applyFont="1" applyFill="1" applyBorder="1" applyAlignment="1">
      <alignment/>
    </xf>
    <xf numFmtId="9" fontId="6" fillId="0" borderId="0" xfId="84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/>
    </xf>
    <xf numFmtId="9" fontId="14" fillId="0" borderId="0" xfId="84" applyFont="1" applyAlignment="1">
      <alignment/>
    </xf>
    <xf numFmtId="2" fontId="14" fillId="0" borderId="0" xfId="0" applyNumberFormat="1" applyFont="1" applyBorder="1" applyAlignment="1">
      <alignment horizontal="center" vertical="top" wrapText="1"/>
    </xf>
    <xf numFmtId="9" fontId="14" fillId="0" borderId="0" xfId="84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85" fontId="6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9" fontId="14" fillId="33" borderId="0" xfId="84" applyFont="1" applyFill="1" applyAlignment="1">
      <alignment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85" fontId="15" fillId="0" borderId="0" xfId="0" applyNumberFormat="1" applyFont="1" applyBorder="1" applyAlignment="1">
      <alignment horizontal="center" vertical="center"/>
    </xf>
    <xf numFmtId="1" fontId="6" fillId="0" borderId="0" xfId="84" applyNumberFormat="1" applyFont="1" applyBorder="1" applyAlignment="1">
      <alignment horizontal="center"/>
    </xf>
    <xf numFmtId="191" fontId="6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/>
    </xf>
    <xf numFmtId="2" fontId="6" fillId="0" borderId="0" xfId="84" applyNumberFormat="1" applyFont="1" applyAlignment="1">
      <alignment/>
    </xf>
    <xf numFmtId="2" fontId="14" fillId="0" borderId="0" xfId="84" applyNumberFormat="1" applyFont="1" applyAlignment="1">
      <alignment/>
    </xf>
    <xf numFmtId="2" fontId="14" fillId="33" borderId="0" xfId="84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 vertical="top" wrapText="1"/>
    </xf>
    <xf numFmtId="2" fontId="5" fillId="0" borderId="0" xfId="84" applyNumberFormat="1" applyFont="1" applyFill="1" applyBorder="1" applyAlignment="1">
      <alignment vertical="center"/>
    </xf>
    <xf numFmtId="2" fontId="20" fillId="0" borderId="10" xfId="0" applyNumberFormat="1" applyFont="1" applyBorder="1" applyAlignment="1">
      <alignment horizontal="center" wrapText="1"/>
    </xf>
    <xf numFmtId="2" fontId="6" fillId="0" borderId="0" xfId="84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6" fillId="0" borderId="0" xfId="84" applyNumberFormat="1" applyFont="1" applyFill="1" applyBorder="1" applyAlignment="1">
      <alignment/>
    </xf>
    <xf numFmtId="0" fontId="16" fillId="0" borderId="0" xfId="69" applyFont="1" applyBorder="1" applyAlignment="1">
      <alignment horizontal="center"/>
      <protection/>
    </xf>
    <xf numFmtId="2" fontId="16" fillId="0" borderId="10" xfId="69" applyNumberFormat="1" applyFont="1" applyBorder="1" applyAlignment="1">
      <alignment horizontal="center"/>
      <protection/>
    </xf>
    <xf numFmtId="2" fontId="6" fillId="0" borderId="10" xfId="84" applyNumberFormat="1" applyFont="1" applyBorder="1" applyAlignment="1">
      <alignment/>
    </xf>
    <xf numFmtId="2" fontId="5" fillId="0" borderId="10" xfId="84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0" fontId="6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9" fontId="5" fillId="33" borderId="10" xfId="84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/>
    </xf>
    <xf numFmtId="9" fontId="5" fillId="33" borderId="10" xfId="84" applyFont="1" applyFill="1" applyBorder="1" applyAlignment="1">
      <alignment horizontal="center"/>
    </xf>
    <xf numFmtId="9" fontId="5" fillId="33" borderId="10" xfId="84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Alignment="1">
      <alignment wrapText="1"/>
    </xf>
    <xf numFmtId="0" fontId="16" fillId="0" borderId="10" xfId="69" applyFont="1" applyBorder="1" applyAlignment="1">
      <alignment horizontal="right" vertical="center" wrapText="1"/>
      <protection/>
    </xf>
    <xf numFmtId="0" fontId="22" fillId="0" borderId="0" xfId="0" applyFont="1" applyFill="1" applyAlignment="1">
      <alignment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5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9" fontId="5" fillId="33" borderId="10" xfId="84" applyFont="1" applyFill="1" applyBorder="1" applyAlignment="1" quotePrefix="1">
      <alignment horizontal="right"/>
    </xf>
    <xf numFmtId="0" fontId="23" fillId="0" borderId="0" xfId="0" applyFont="1" applyBorder="1" applyAlignment="1">
      <alignment horizontal="left" wrapText="1"/>
    </xf>
    <xf numFmtId="2" fontId="5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9" fontId="14" fillId="0" borderId="10" xfId="84" applyFont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2" fontId="26" fillId="33" borderId="0" xfId="81" applyNumberFormat="1" applyFont="1" applyFill="1" applyBorder="1">
      <alignment/>
      <protection/>
    </xf>
    <xf numFmtId="9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8" fillId="34" borderId="15" xfId="0" applyFont="1" applyFill="1" applyBorder="1" applyAlignment="1">
      <alignment horizontal="center" vertical="center" wrapText="1"/>
    </xf>
    <xf numFmtId="9" fontId="5" fillId="0" borderId="19" xfId="84" applyFont="1" applyBorder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9" fontId="5" fillId="34" borderId="15" xfId="84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/>
    </xf>
    <xf numFmtId="2" fontId="5" fillId="0" borderId="21" xfId="0" applyNumberFormat="1" applyFont="1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top"/>
    </xf>
    <xf numFmtId="2" fontId="14" fillId="0" borderId="22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9" fontId="8" fillId="33" borderId="21" xfId="84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9" fontId="5" fillId="0" borderId="22" xfId="84" applyFont="1" applyBorder="1" applyAlignment="1">
      <alignment/>
    </xf>
    <xf numFmtId="0" fontId="5" fillId="0" borderId="18" xfId="0" applyFont="1" applyBorder="1" applyAlignment="1">
      <alignment horizontal="center"/>
    </xf>
    <xf numFmtId="2" fontId="6" fillId="0" borderId="11" xfId="84" applyNumberFormat="1" applyFont="1" applyBorder="1" applyAlignment="1">
      <alignment/>
    </xf>
    <xf numFmtId="2" fontId="20" fillId="0" borderId="11" xfId="0" applyNumberFormat="1" applyFont="1" applyBorder="1" applyAlignment="1">
      <alignment horizontal="center" wrapText="1"/>
    </xf>
    <xf numFmtId="9" fontId="6" fillId="0" borderId="22" xfId="84" applyFont="1" applyBorder="1" applyAlignment="1">
      <alignment horizontal="center"/>
    </xf>
    <xf numFmtId="9" fontId="6" fillId="0" borderId="23" xfId="84" applyFont="1" applyBorder="1" applyAlignment="1">
      <alignment horizontal="center"/>
    </xf>
    <xf numFmtId="9" fontId="6" fillId="0" borderId="22" xfId="84" applyFont="1" applyBorder="1" applyAlignment="1" quotePrefix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9" fontId="5" fillId="0" borderId="0" xfId="84" applyFont="1" applyBorder="1" applyAlignment="1">
      <alignment horizontal="right"/>
    </xf>
    <xf numFmtId="2" fontId="5" fillId="0" borderId="0" xfId="84" applyNumberFormat="1" applyFont="1" applyBorder="1" applyAlignment="1">
      <alignment/>
    </xf>
    <xf numFmtId="2" fontId="1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9" fontId="6" fillId="0" borderId="0" xfId="84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9" fontId="5" fillId="0" borderId="0" xfId="84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10" xfId="84" applyFont="1" applyBorder="1" applyAlignment="1">
      <alignment horizontal="center"/>
    </xf>
    <xf numFmtId="0" fontId="6" fillId="34" borderId="15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9" fontId="10" fillId="0" borderId="0" xfId="84" applyFont="1" applyAlignment="1">
      <alignment/>
    </xf>
    <xf numFmtId="9" fontId="19" fillId="0" borderId="0" xfId="84" applyFont="1" applyBorder="1" applyAlignment="1">
      <alignment horizontal="right" vertical="center"/>
    </xf>
    <xf numFmtId="9" fontId="14" fillId="0" borderId="0" xfId="84" applyFont="1" applyBorder="1" applyAlignment="1">
      <alignment horizontal="center"/>
    </xf>
    <xf numFmtId="9" fontId="14" fillId="0" borderId="0" xfId="84" applyFont="1" applyFill="1" applyAlignment="1">
      <alignment/>
    </xf>
    <xf numFmtId="9" fontId="6" fillId="0" borderId="0" xfId="84" applyFont="1" applyFill="1" applyAlignment="1">
      <alignment/>
    </xf>
    <xf numFmtId="9" fontId="5" fillId="34" borderId="16" xfId="84" applyFont="1" applyFill="1" applyBorder="1" applyAlignment="1">
      <alignment horizontal="center" wrapText="1"/>
    </xf>
    <xf numFmtId="9" fontId="8" fillId="0" borderId="0" xfId="84" applyFont="1" applyBorder="1" applyAlignment="1">
      <alignment horizontal="left" wrapText="1"/>
    </xf>
    <xf numFmtId="9" fontId="6" fillId="0" borderId="0" xfId="84" applyFont="1" applyFill="1" applyAlignment="1">
      <alignment horizontal="right"/>
    </xf>
    <xf numFmtId="9" fontId="11" fillId="0" borderId="0" xfId="84" applyFont="1" applyBorder="1" applyAlignment="1">
      <alignment/>
    </xf>
    <xf numFmtId="9" fontId="5" fillId="34" borderId="10" xfId="84" applyFont="1" applyFill="1" applyBorder="1" applyAlignment="1">
      <alignment horizontal="center" vertical="center" wrapText="1"/>
    </xf>
    <xf numFmtId="9" fontId="5" fillId="34" borderId="15" xfId="84" applyFont="1" applyFill="1" applyBorder="1" applyAlignment="1">
      <alignment horizontal="center" vertical="center" wrapText="1"/>
    </xf>
    <xf numFmtId="9" fontId="5" fillId="0" borderId="10" xfId="84" applyFont="1" applyBorder="1" applyAlignment="1">
      <alignment horizontal="center" wrapText="1"/>
    </xf>
    <xf numFmtId="9" fontId="8" fillId="0" borderId="0" xfId="84" applyFont="1" applyBorder="1" applyAlignment="1">
      <alignment horizontal="right" vertical="center"/>
    </xf>
    <xf numFmtId="9" fontId="14" fillId="0" borderId="12" xfId="84" applyFont="1" applyBorder="1" applyAlignment="1">
      <alignment vertical="center"/>
    </xf>
    <xf numFmtId="9" fontId="14" fillId="0" borderId="0" xfId="84" applyFont="1" applyBorder="1" applyAlignment="1">
      <alignment vertical="center"/>
    </xf>
    <xf numFmtId="9" fontId="14" fillId="0" borderId="13" xfId="84" applyFont="1" applyBorder="1" applyAlignment="1">
      <alignment vertical="center"/>
    </xf>
    <xf numFmtId="9" fontId="25" fillId="0" borderId="0" xfId="84" applyFont="1" applyFill="1" applyAlignment="1">
      <alignment/>
    </xf>
    <xf numFmtId="9" fontId="25" fillId="0" borderId="0" xfId="84" applyFont="1" applyFill="1" applyAlignment="1">
      <alignment horizontal="right"/>
    </xf>
    <xf numFmtId="9" fontId="8" fillId="34" borderId="15" xfId="84" applyFont="1" applyFill="1" applyBorder="1" applyAlignment="1">
      <alignment horizontal="center" vertical="center" wrapText="1"/>
    </xf>
    <xf numFmtId="9" fontId="5" fillId="0" borderId="0" xfId="84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9" fontId="5" fillId="0" borderId="0" xfId="84" applyFont="1" applyFill="1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9" fontId="6" fillId="0" borderId="0" xfId="84" applyFont="1" applyFill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8" fillId="0" borderId="0" xfId="0" applyNumberFormat="1" applyFont="1" applyBorder="1" applyAlignment="1">
      <alignment vertical="top"/>
    </xf>
    <xf numFmtId="0" fontId="1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9" fontId="6" fillId="0" borderId="0" xfId="84" applyFont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9" fontId="12" fillId="0" borderId="0" xfId="84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/>
    </xf>
    <xf numFmtId="2" fontId="5" fillId="0" borderId="21" xfId="0" applyNumberFormat="1" applyFont="1" applyBorder="1" applyAlignment="1">
      <alignment horizontal="right"/>
    </xf>
    <xf numFmtId="2" fontId="8" fillId="0" borderId="21" xfId="84" applyNumberFormat="1" applyFont="1" applyBorder="1" applyAlignment="1">
      <alignment horizontal="center" vertical="center"/>
    </xf>
    <xf numFmtId="2" fontId="14" fillId="0" borderId="10" xfId="84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0" fontId="6" fillId="0" borderId="11" xfId="84" applyNumberFormat="1" applyFont="1" applyBorder="1" applyAlignment="1">
      <alignment horizontal="center"/>
    </xf>
    <xf numFmtId="0" fontId="6" fillId="0" borderId="0" xfId="84" applyNumberFormat="1" applyFont="1" applyAlignment="1">
      <alignment horizontal="center"/>
    </xf>
    <xf numFmtId="0" fontId="6" fillId="34" borderId="11" xfId="84" applyNumberFormat="1" applyFont="1" applyFill="1" applyBorder="1" applyAlignment="1">
      <alignment horizontal="center"/>
    </xf>
    <xf numFmtId="0" fontId="5" fillId="0" borderId="11" xfId="84" applyNumberFormat="1" applyFont="1" applyBorder="1" applyAlignment="1">
      <alignment horizontal="center"/>
    </xf>
    <xf numFmtId="2" fontId="0" fillId="0" borderId="10" xfId="70" applyNumberFormat="1" applyFont="1" applyBorder="1" applyAlignment="1">
      <alignment horizontal="center"/>
      <protection/>
    </xf>
    <xf numFmtId="2" fontId="0" fillId="0" borderId="28" xfId="70" applyNumberFormat="1" applyFont="1" applyBorder="1" applyAlignment="1">
      <alignment horizontal="center"/>
      <protection/>
    </xf>
    <xf numFmtId="2" fontId="0" fillId="0" borderId="10" xfId="64" applyNumberFormat="1" applyFont="1" applyBorder="1" applyAlignment="1">
      <alignment horizontal="center"/>
      <protection/>
    </xf>
    <xf numFmtId="2" fontId="5" fillId="0" borderId="0" xfId="0" applyNumberFormat="1" applyFont="1" applyFill="1" applyAlignment="1">
      <alignment/>
    </xf>
    <xf numFmtId="2" fontId="0" fillId="0" borderId="0" xfId="69" applyNumberFormat="1" applyFont="1" applyBorder="1" applyAlignment="1">
      <alignment horizontal="center"/>
      <protection/>
    </xf>
    <xf numFmtId="2" fontId="0" fillId="33" borderId="0" xfId="69" applyNumberFormat="1" applyFont="1" applyFill="1" applyBorder="1" applyAlignment="1">
      <alignment horizontal="center" vertical="center"/>
      <protection/>
    </xf>
    <xf numFmtId="0" fontId="5" fillId="0" borderId="0" xfId="84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0" fontId="6" fillId="0" borderId="10" xfId="84" applyNumberFormat="1" applyFont="1" applyBorder="1" applyAlignment="1">
      <alignment/>
    </xf>
    <xf numFmtId="0" fontId="16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1" fontId="5" fillId="0" borderId="10" xfId="84" applyNumberFormat="1" applyFont="1" applyBorder="1" applyAlignment="1">
      <alignment horizontal="center" vertical="center"/>
    </xf>
    <xf numFmtId="9" fontId="5" fillId="33" borderId="10" xfId="84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1" fontId="13" fillId="34" borderId="10" xfId="84" applyNumberFormat="1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/>
    </xf>
    <xf numFmtId="9" fontId="5" fillId="0" borderId="19" xfId="84" applyFont="1" applyBorder="1" applyAlignment="1" quotePrefix="1">
      <alignment horizontal="right"/>
    </xf>
    <xf numFmtId="2" fontId="14" fillId="35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9" fontId="0" fillId="0" borderId="22" xfId="84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9" xfId="0" applyFont="1" applyBorder="1" applyAlignment="1">
      <alignment horizontal="center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9" fontId="5" fillId="34" borderId="20" xfId="84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3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30" fillId="0" borderId="21" xfId="0" applyFont="1" applyBorder="1" applyAlignment="1">
      <alignment horizontal="center"/>
    </xf>
    <xf numFmtId="9" fontId="5" fillId="0" borderId="31" xfId="84" applyFont="1" applyBorder="1" applyAlignment="1">
      <alignment horizontal="center"/>
    </xf>
    <xf numFmtId="0" fontId="5" fillId="34" borderId="32" xfId="0" applyFont="1" applyFill="1" applyBorder="1" applyAlignment="1">
      <alignment horizontal="center" vertical="center" wrapText="1"/>
    </xf>
    <xf numFmtId="9" fontId="5" fillId="0" borderId="33" xfId="0" applyNumberFormat="1" applyFont="1" applyBorder="1" applyAlignment="1">
      <alignment horizontal="center"/>
    </xf>
    <xf numFmtId="0" fontId="5" fillId="34" borderId="30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8" fillId="0" borderId="35" xfId="0" applyFont="1" applyFill="1" applyBorder="1" applyAlignment="1">
      <alignment horizontal="left" vertical="top" wrapText="1"/>
    </xf>
    <xf numFmtId="2" fontId="0" fillId="0" borderId="15" xfId="64" applyNumberFormat="1" applyFont="1" applyBorder="1" applyAlignment="1">
      <alignment horizontal="center"/>
      <protection/>
    </xf>
    <xf numFmtId="2" fontId="0" fillId="0" borderId="21" xfId="64" applyNumberFormat="1" applyFont="1" applyBorder="1" applyAlignment="1">
      <alignment horizontal="center"/>
      <protection/>
    </xf>
    <xf numFmtId="0" fontId="5" fillId="0" borderId="29" xfId="0" applyFont="1" applyBorder="1" applyAlignment="1">
      <alignment horizontal="center"/>
    </xf>
    <xf numFmtId="0" fontId="8" fillId="0" borderId="36" xfId="0" applyFont="1" applyFill="1" applyBorder="1" applyAlignment="1">
      <alignment horizontal="left" vertical="top" wrapText="1"/>
    </xf>
    <xf numFmtId="9" fontId="0" fillId="0" borderId="16" xfId="84" applyFont="1" applyBorder="1" applyAlignment="1">
      <alignment horizontal="center" vertical="center"/>
    </xf>
    <xf numFmtId="9" fontId="0" fillId="0" borderId="22" xfId="84" applyFont="1" applyBorder="1" applyAlignment="1">
      <alignment horizontal="center" vertical="center"/>
    </xf>
    <xf numFmtId="9" fontId="0" fillId="0" borderId="19" xfId="84" applyFont="1" applyBorder="1" applyAlignment="1">
      <alignment horizontal="center" vertical="center"/>
    </xf>
    <xf numFmtId="9" fontId="8" fillId="0" borderId="33" xfId="84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wrapText="1"/>
    </xf>
    <xf numFmtId="0" fontId="15" fillId="0" borderId="36" xfId="0" applyFont="1" applyBorder="1" applyAlignment="1">
      <alignment/>
    </xf>
    <xf numFmtId="9" fontId="0" fillId="0" borderId="16" xfId="84" applyFont="1" applyBorder="1" applyAlignment="1">
      <alignment horizontal="center"/>
    </xf>
    <xf numFmtId="9" fontId="5" fillId="0" borderId="33" xfId="84" applyFont="1" applyBorder="1" applyAlignment="1">
      <alignment horizontal="center"/>
    </xf>
    <xf numFmtId="2" fontId="5" fillId="34" borderId="32" xfId="0" applyNumberFormat="1" applyFont="1" applyFill="1" applyBorder="1" applyAlignment="1">
      <alignment horizontal="center" vertical="center" wrapText="1"/>
    </xf>
    <xf numFmtId="9" fontId="0" fillId="0" borderId="19" xfId="84" applyFont="1" applyBorder="1" applyAlignment="1">
      <alignment horizontal="center"/>
    </xf>
    <xf numFmtId="9" fontId="8" fillId="0" borderId="31" xfId="0" applyNumberFormat="1" applyFont="1" applyBorder="1" applyAlignment="1">
      <alignment horizontal="center" vertical="center"/>
    </xf>
    <xf numFmtId="9" fontId="5" fillId="34" borderId="32" xfId="84" applyFont="1" applyFill="1" applyBorder="1" applyAlignment="1">
      <alignment horizontal="center" vertical="center" wrapText="1"/>
    </xf>
    <xf numFmtId="9" fontId="8" fillId="0" borderId="13" xfId="84" applyFont="1" applyBorder="1" applyAlignment="1">
      <alignment horizontal="center" vertical="center"/>
    </xf>
    <xf numFmtId="9" fontId="0" fillId="0" borderId="10" xfId="84" applyFont="1" applyBorder="1" applyAlignment="1">
      <alignment horizontal="center"/>
    </xf>
    <xf numFmtId="0" fontId="24" fillId="34" borderId="30" xfId="0" applyFont="1" applyFill="1" applyBorder="1" applyAlignment="1">
      <alignment horizontal="center" vertical="top" wrapText="1"/>
    </xf>
    <xf numFmtId="0" fontId="24" fillId="34" borderId="20" xfId="0" applyFont="1" applyFill="1" applyBorder="1" applyAlignment="1">
      <alignment horizontal="center" vertical="top" wrapText="1"/>
    </xf>
    <xf numFmtId="9" fontId="24" fillId="34" borderId="32" xfId="84" applyFont="1" applyFill="1" applyBorder="1" applyAlignment="1">
      <alignment horizontal="center" vertical="top" wrapText="1"/>
    </xf>
    <xf numFmtId="9" fontId="0" fillId="0" borderId="15" xfId="84" applyFont="1" applyBorder="1" applyAlignment="1">
      <alignment horizontal="center" vertical="center"/>
    </xf>
    <xf numFmtId="9" fontId="0" fillId="0" borderId="21" xfId="84" applyFont="1" applyBorder="1" applyAlignment="1">
      <alignment horizontal="center"/>
    </xf>
    <xf numFmtId="1" fontId="0" fillId="0" borderId="16" xfId="84" applyNumberFormat="1" applyFont="1" applyBorder="1" applyAlignment="1">
      <alignment horizontal="center" vertical="center"/>
    </xf>
    <xf numFmtId="1" fontId="0" fillId="0" borderId="22" xfId="84" applyNumberFormat="1" applyFont="1" applyBorder="1" applyAlignment="1">
      <alignment horizontal="center" vertical="center"/>
    </xf>
    <xf numFmtId="1" fontId="0" fillId="0" borderId="19" xfId="84" applyNumberFormat="1" applyFont="1" applyBorder="1" applyAlignment="1">
      <alignment horizontal="center" vertical="center"/>
    </xf>
    <xf numFmtId="9" fontId="24" fillId="34" borderId="20" xfId="84" applyFont="1" applyFill="1" applyBorder="1" applyAlignment="1">
      <alignment horizontal="center" vertical="top" wrapText="1"/>
    </xf>
    <xf numFmtId="0" fontId="24" fillId="34" borderId="32" xfId="0" applyFont="1" applyFill="1" applyBorder="1" applyAlignment="1">
      <alignment horizontal="center" vertical="top" wrapText="1"/>
    </xf>
    <xf numFmtId="2" fontId="5" fillId="34" borderId="32" xfId="0" applyNumberFormat="1" applyFont="1" applyFill="1" applyBorder="1" applyAlignment="1">
      <alignment vertical="center" wrapText="1"/>
    </xf>
    <xf numFmtId="2" fontId="0" fillId="0" borderId="15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16" fillId="0" borderId="35" xfId="64" applyNumberFormat="1" applyFont="1" applyBorder="1" applyAlignment="1">
      <alignment horizontal="center" vertical="center"/>
      <protection/>
    </xf>
    <xf numFmtId="9" fontId="0" fillId="0" borderId="16" xfId="84" applyFont="1" applyBorder="1" applyAlignment="1">
      <alignment horizontal="center" wrapText="1"/>
    </xf>
    <xf numFmtId="9" fontId="0" fillId="0" borderId="22" xfId="84" applyFont="1" applyBorder="1" applyAlignment="1">
      <alignment horizontal="center" wrapText="1"/>
    </xf>
    <xf numFmtId="9" fontId="0" fillId="0" borderId="19" xfId="84" applyFont="1" applyBorder="1" applyAlignment="1">
      <alignment horizontal="center" wrapText="1"/>
    </xf>
    <xf numFmtId="9" fontId="5" fillId="0" borderId="31" xfId="84" applyFont="1" applyBorder="1" applyAlignment="1">
      <alignment horizontal="center" wrapText="1"/>
    </xf>
    <xf numFmtId="2" fontId="16" fillId="0" borderId="36" xfId="64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2" fontId="0" fillId="35" borderId="15" xfId="64" applyNumberFormat="1" applyFont="1" applyFill="1" applyBorder="1" applyAlignment="1">
      <alignment horizontal="center"/>
      <protection/>
    </xf>
    <xf numFmtId="2" fontId="0" fillId="35" borderId="10" xfId="64" applyNumberFormat="1" applyFont="1" applyFill="1" applyBorder="1" applyAlignment="1">
      <alignment horizontal="center"/>
      <protection/>
    </xf>
    <xf numFmtId="2" fontId="0" fillId="35" borderId="21" xfId="64" applyNumberFormat="1" applyFont="1" applyFill="1" applyBorder="1" applyAlignment="1">
      <alignment horizontal="center"/>
      <protection/>
    </xf>
    <xf numFmtId="2" fontId="5" fillId="35" borderId="10" xfId="0" applyNumberFormat="1" applyFont="1" applyFill="1" applyBorder="1" applyAlignment="1">
      <alignment horizontal="center"/>
    </xf>
    <xf numFmtId="9" fontId="5" fillId="35" borderId="10" xfId="84" applyFont="1" applyFill="1" applyBorder="1" applyAlignment="1">
      <alignment horizontal="center"/>
    </xf>
    <xf numFmtId="9" fontId="5" fillId="35" borderId="10" xfId="84" applyFont="1" applyFill="1" applyBorder="1" applyAlignment="1">
      <alignment/>
    </xf>
    <xf numFmtId="2" fontId="16" fillId="35" borderId="36" xfId="64" applyNumberFormat="1" applyFont="1" applyFill="1" applyBorder="1" applyAlignment="1">
      <alignment horizontal="center"/>
      <protection/>
    </xf>
    <xf numFmtId="2" fontId="8" fillId="35" borderId="13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0" fontId="22" fillId="35" borderId="10" xfId="70" applyFont="1" applyFill="1" applyBorder="1" applyAlignment="1">
      <alignment horizontal="right" vertical="center"/>
      <protection/>
    </xf>
    <xf numFmtId="2" fontId="22" fillId="35" borderId="22" xfId="70" applyNumberFormat="1" applyFont="1" applyFill="1" applyBorder="1">
      <alignment/>
      <protection/>
    </xf>
    <xf numFmtId="0" fontId="22" fillId="35" borderId="22" xfId="70" applyFont="1" applyFill="1" applyBorder="1">
      <alignment/>
      <protection/>
    </xf>
    <xf numFmtId="0" fontId="6" fillId="35" borderId="21" xfId="0" applyFont="1" applyFill="1" applyBorder="1" applyAlignment="1">
      <alignment horizontal="right" vertical="center"/>
    </xf>
    <xf numFmtId="2" fontId="8" fillId="35" borderId="35" xfId="0" applyNumberFormat="1" applyFont="1" applyFill="1" applyBorder="1" applyAlignment="1">
      <alignment horizontal="center" vertical="center"/>
    </xf>
    <xf numFmtId="2" fontId="8" fillId="35" borderId="3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right"/>
    </xf>
    <xf numFmtId="2" fontId="15" fillId="0" borderId="10" xfId="63" applyNumberFormat="1" applyFont="1" applyBorder="1" applyAlignment="1">
      <alignment horizontal="center"/>
      <protection/>
    </xf>
    <xf numFmtId="2" fontId="6" fillId="0" borderId="11" xfId="0" applyNumberFormat="1" applyFont="1" applyBorder="1" applyAlignment="1">
      <alignment horizontal="center"/>
    </xf>
    <xf numFmtId="9" fontId="6" fillId="0" borderId="22" xfId="0" applyNumberFormat="1" applyFont="1" applyBorder="1" applyAlignment="1">
      <alignment horizontal="center"/>
    </xf>
    <xf numFmtId="2" fontId="15" fillId="0" borderId="10" xfId="63" applyNumberFormat="1" applyFont="1" applyFill="1" applyBorder="1" applyAlignment="1">
      <alignment horizontal="center"/>
      <protection/>
    </xf>
    <xf numFmtId="0" fontId="0" fillId="0" borderId="37" xfId="0" applyFont="1" applyBorder="1" applyAlignment="1">
      <alignment horizontal="center" wrapText="1"/>
    </xf>
    <xf numFmtId="0" fontId="30" fillId="0" borderId="12" xfId="0" applyFont="1" applyBorder="1" applyAlignment="1">
      <alignment horizontal="center"/>
    </xf>
    <xf numFmtId="2" fontId="15" fillId="0" borderId="12" xfId="63" applyNumberFormat="1" applyFont="1" applyFill="1" applyBorder="1" applyAlignment="1">
      <alignment horizontal="center"/>
      <protection/>
    </xf>
    <xf numFmtId="2" fontId="6" fillId="0" borderId="38" xfId="0" applyNumberFormat="1" applyFont="1" applyBorder="1" applyAlignment="1">
      <alignment horizontal="center"/>
    </xf>
    <xf numFmtId="9" fontId="6" fillId="0" borderId="23" xfId="0" applyNumberFormat="1" applyFont="1" applyBorder="1" applyAlignment="1">
      <alignment horizontal="center"/>
    </xf>
    <xf numFmtId="0" fontId="6" fillId="0" borderId="29" xfId="0" applyFont="1" applyFill="1" applyBorder="1" applyAlignment="1" quotePrefix="1">
      <alignment horizontal="center"/>
    </xf>
    <xf numFmtId="0" fontId="5" fillId="0" borderId="36" xfId="0" applyFont="1" applyBorder="1" applyAlignment="1">
      <alignment horizontal="left"/>
    </xf>
    <xf numFmtId="2" fontId="26" fillId="33" borderId="36" xfId="8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center"/>
    </xf>
    <xf numFmtId="0" fontId="22" fillId="35" borderId="12" xfId="70" applyFont="1" applyFill="1" applyBorder="1" applyAlignment="1">
      <alignment horizontal="right" vertical="center"/>
      <protection/>
    </xf>
    <xf numFmtId="2" fontId="22" fillId="35" borderId="23" xfId="70" applyNumberFormat="1" applyFont="1" applyFill="1" applyBorder="1">
      <alignment/>
      <protection/>
    </xf>
    <xf numFmtId="2" fontId="5" fillId="35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1" fillId="0" borderId="0" xfId="0" applyFont="1" applyAlignment="1">
      <alignment horizontal="center"/>
    </xf>
    <xf numFmtId="9" fontId="28" fillId="0" borderId="0" xfId="84" applyFont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9" fontId="5" fillId="34" borderId="10" xfId="84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/>
    </xf>
    <xf numFmtId="2" fontId="0" fillId="35" borderId="10" xfId="0" applyNumberFormat="1" applyFont="1" applyFill="1" applyBorder="1" applyAlignment="1">
      <alignment horizontal="center"/>
    </xf>
    <xf numFmtId="9" fontId="5" fillId="0" borderId="0" xfId="84" applyFont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9" fontId="5" fillId="35" borderId="10" xfId="84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1" fontId="8" fillId="0" borderId="10" xfId="84" applyNumberFormat="1" applyFont="1" applyBorder="1" applyAlignment="1">
      <alignment horizontal="center"/>
    </xf>
    <xf numFmtId="2" fontId="14" fillId="0" borderId="10" xfId="84" applyNumberFormat="1" applyFont="1" applyBorder="1" applyAlignment="1">
      <alignment horizontal="center"/>
    </xf>
    <xf numFmtId="1" fontId="14" fillId="0" borderId="10" xfId="84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14" fillId="0" borderId="10" xfId="84" applyFont="1" applyBorder="1" applyAlignment="1">
      <alignment horizontal="center"/>
    </xf>
    <xf numFmtId="1" fontId="14" fillId="33" borderId="10" xfId="84" applyNumberFormat="1" applyFont="1" applyFill="1" applyBorder="1" applyAlignment="1">
      <alignment horizontal="center"/>
    </xf>
    <xf numFmtId="1" fontId="14" fillId="33" borderId="0" xfId="84" applyNumberFormat="1" applyFont="1" applyFill="1" applyAlignment="1">
      <alignment/>
    </xf>
    <xf numFmtId="2" fontId="16" fillId="0" borderId="10" xfId="69" applyNumberFormat="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2" fontId="0" fillId="0" borderId="13" xfId="70" applyNumberFormat="1" applyFont="1" applyBorder="1" applyAlignment="1">
      <alignment horizontal="center"/>
      <protection/>
    </xf>
    <xf numFmtId="2" fontId="0" fillId="0" borderId="24" xfId="70" applyNumberFormat="1" applyFont="1" applyBorder="1" applyAlignment="1">
      <alignment horizontal="center"/>
      <protection/>
    </xf>
    <xf numFmtId="9" fontId="6" fillId="0" borderId="40" xfId="84" applyFont="1" applyBorder="1" applyAlignment="1">
      <alignment horizont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9" fontId="5" fillId="34" borderId="33" xfId="84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9" fontId="5" fillId="34" borderId="36" xfId="84" applyFont="1" applyFill="1" applyBorder="1" applyAlignment="1">
      <alignment horizontal="center" vertical="center" wrapText="1"/>
    </xf>
    <xf numFmtId="2" fontId="20" fillId="34" borderId="33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2" fontId="15" fillId="0" borderId="13" xfId="63" applyNumberFormat="1" applyFont="1" applyBorder="1" applyAlignment="1">
      <alignment horizontal="center"/>
      <protection/>
    </xf>
    <xf numFmtId="2" fontId="6" fillId="0" borderId="26" xfId="0" applyNumberFormat="1" applyFont="1" applyBorder="1" applyAlignment="1">
      <alignment horizontal="center"/>
    </xf>
    <xf numFmtId="9" fontId="6" fillId="0" borderId="40" xfId="0" applyNumberFormat="1" applyFont="1" applyBorder="1" applyAlignment="1">
      <alignment horizontal="center"/>
    </xf>
    <xf numFmtId="0" fontId="5" fillId="34" borderId="33" xfId="0" applyFont="1" applyFill="1" applyBorder="1" applyAlignment="1">
      <alignment horizontal="center" vertical="center" wrapText="1"/>
    </xf>
    <xf numFmtId="2" fontId="18" fillId="0" borderId="0" xfId="69" applyNumberFormat="1" applyFont="1" applyBorder="1" applyAlignment="1">
      <alignment horizontal="center" vertical="center"/>
      <protection/>
    </xf>
    <xf numFmtId="2" fontId="15" fillId="0" borderId="0" xfId="0" applyNumberFormat="1" applyFont="1" applyBorder="1" applyAlignment="1">
      <alignment horizontal="center" vertical="center"/>
    </xf>
    <xf numFmtId="2" fontId="5" fillId="0" borderId="21" xfId="84" applyNumberFormat="1" applyFont="1" applyBorder="1" applyAlignment="1">
      <alignment/>
    </xf>
    <xf numFmtId="2" fontId="6" fillId="35" borderId="19" xfId="0" applyNumberFormat="1" applyFont="1" applyFill="1" applyBorder="1" applyAlignment="1">
      <alignment/>
    </xf>
    <xf numFmtId="2" fontId="0" fillId="0" borderId="12" xfId="70" applyNumberFormat="1" applyFont="1" applyBorder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0" fontId="5" fillId="0" borderId="36" xfId="0" applyFont="1" applyBorder="1" applyAlignment="1">
      <alignment horizontal="center" vertical="center"/>
    </xf>
    <xf numFmtId="2" fontId="16" fillId="0" borderId="36" xfId="70" applyNumberFormat="1" applyFont="1" applyBorder="1" applyAlignment="1">
      <alignment horizontal="center"/>
      <protection/>
    </xf>
    <xf numFmtId="2" fontId="5" fillId="33" borderId="36" xfId="0" applyNumberFormat="1" applyFont="1" applyFill="1" applyBorder="1" applyAlignment="1">
      <alignment/>
    </xf>
    <xf numFmtId="9" fontId="5" fillId="33" borderId="41" xfId="84" applyFont="1" applyFill="1" applyBorder="1" applyAlignment="1">
      <alignment horizontal="center"/>
    </xf>
    <xf numFmtId="2" fontId="0" fillId="0" borderId="42" xfId="70" applyNumberFormat="1" applyFont="1" applyBorder="1" applyAlignment="1">
      <alignment horizontal="center"/>
      <protection/>
    </xf>
    <xf numFmtId="0" fontId="6" fillId="0" borderId="36" xfId="0" applyFont="1" applyBorder="1" applyAlignment="1">
      <alignment vertical="center"/>
    </xf>
    <xf numFmtId="1" fontId="0" fillId="35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21" xfId="0" applyNumberFormat="1" applyFont="1" applyFill="1" applyBorder="1" applyAlignment="1">
      <alignment horizontal="center" wrapText="1"/>
    </xf>
    <xf numFmtId="2" fontId="0" fillId="35" borderId="15" xfId="84" applyNumberFormat="1" applyFont="1" applyFill="1" applyBorder="1" applyAlignment="1">
      <alignment horizontal="center"/>
    </xf>
    <xf numFmtId="9" fontId="0" fillId="35" borderId="16" xfId="84" applyFont="1" applyFill="1" applyBorder="1" applyAlignment="1">
      <alignment/>
    </xf>
    <xf numFmtId="2" fontId="0" fillId="35" borderId="10" xfId="84" applyNumberFormat="1" applyFont="1" applyFill="1" applyBorder="1" applyAlignment="1">
      <alignment horizontal="center"/>
    </xf>
    <xf numFmtId="9" fontId="0" fillId="35" borderId="22" xfId="84" applyFont="1" applyFill="1" applyBorder="1" applyAlignment="1">
      <alignment/>
    </xf>
    <xf numFmtId="2" fontId="0" fillId="35" borderId="21" xfId="84" applyNumberFormat="1" applyFont="1" applyFill="1" applyBorder="1" applyAlignment="1">
      <alignment horizontal="center"/>
    </xf>
    <xf numFmtId="9" fontId="0" fillId="35" borderId="19" xfId="84" applyFont="1" applyFill="1" applyBorder="1" applyAlignment="1">
      <alignment/>
    </xf>
    <xf numFmtId="9" fontId="5" fillId="35" borderId="31" xfId="84" applyFont="1" applyFill="1" applyBorder="1" applyAlignment="1">
      <alignment/>
    </xf>
    <xf numFmtId="191" fontId="0" fillId="35" borderId="15" xfId="64" applyNumberFormat="1" applyFont="1" applyFill="1" applyBorder="1" applyAlignment="1">
      <alignment horizontal="center"/>
      <protection/>
    </xf>
    <xf numFmtId="191" fontId="0" fillId="35" borderId="10" xfId="64" applyNumberFormat="1" applyFont="1" applyFill="1" applyBorder="1" applyAlignment="1">
      <alignment horizontal="center"/>
      <protection/>
    </xf>
    <xf numFmtId="191" fontId="0" fillId="35" borderId="10" xfId="0" applyNumberFormat="1" applyFont="1" applyFill="1" applyBorder="1" applyAlignment="1">
      <alignment horizontal="center"/>
    </xf>
    <xf numFmtId="191" fontId="0" fillId="35" borderId="21" xfId="64" applyNumberFormat="1" applyFont="1" applyFill="1" applyBorder="1" applyAlignment="1">
      <alignment horizontal="center"/>
      <protection/>
    </xf>
    <xf numFmtId="2" fontId="8" fillId="35" borderId="21" xfId="0" applyNumberFormat="1" applyFont="1" applyFill="1" applyBorder="1" applyAlignment="1">
      <alignment horizontal="center" vertical="center"/>
    </xf>
    <xf numFmtId="2" fontId="5" fillId="35" borderId="21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2" fontId="16" fillId="0" borderId="15" xfId="64" applyNumberFormat="1" applyFont="1" applyBorder="1" applyAlignment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9" fontId="5" fillId="34" borderId="10" xfId="84" applyFont="1" applyFill="1" applyBorder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0" fontId="6" fillId="35" borderId="21" xfId="0" applyFont="1" applyFill="1" applyBorder="1" applyAlignment="1">
      <alignment vertical="center"/>
    </xf>
    <xf numFmtId="2" fontId="6" fillId="35" borderId="21" xfId="0" applyNumberFormat="1" applyFont="1" applyFill="1" applyBorder="1" applyAlignment="1">
      <alignment vertical="center"/>
    </xf>
    <xf numFmtId="9" fontId="6" fillId="35" borderId="21" xfId="84" applyFont="1" applyFill="1" applyBorder="1" applyAlignment="1">
      <alignment/>
    </xf>
    <xf numFmtId="9" fontId="6" fillId="35" borderId="19" xfId="84" applyFont="1" applyFill="1" applyBorder="1" applyAlignment="1">
      <alignment/>
    </xf>
    <xf numFmtId="0" fontId="5" fillId="0" borderId="1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9" fontId="5" fillId="0" borderId="10" xfId="84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9" fontId="5" fillId="0" borderId="10" xfId="84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0" fontId="0" fillId="0" borderId="21" xfId="64" applyFont="1" applyBorder="1" applyAlignment="1">
      <alignment horizontal="center"/>
      <protection/>
    </xf>
    <xf numFmtId="9" fontId="5" fillId="33" borderId="21" xfId="84" applyFont="1" applyFill="1" applyBorder="1" applyAlignment="1">
      <alignment vertical="center"/>
    </xf>
    <xf numFmtId="9" fontId="5" fillId="33" borderId="19" xfId="84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9" fontId="5" fillId="33" borderId="0" xfId="84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9" fontId="12" fillId="0" borderId="0" xfId="84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9" fontId="5" fillId="34" borderId="22" xfId="84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22" fillId="35" borderId="10" xfId="70" applyFont="1" applyFill="1" applyBorder="1">
      <alignment/>
      <protection/>
    </xf>
    <xf numFmtId="2" fontId="22" fillId="35" borderId="10" xfId="70" applyNumberFormat="1" applyFont="1" applyFill="1" applyBorder="1" applyAlignment="1">
      <alignment horizontal="right"/>
      <protection/>
    </xf>
    <xf numFmtId="0" fontId="34" fillId="35" borderId="10" xfId="70" applyFont="1" applyFill="1" applyBorder="1">
      <alignment/>
      <protection/>
    </xf>
    <xf numFmtId="0" fontId="30" fillId="35" borderId="10" xfId="63" applyFont="1" applyFill="1" applyBorder="1">
      <alignment/>
      <protection/>
    </xf>
    <xf numFmtId="0" fontId="30" fillId="35" borderId="10" xfId="63" applyFont="1" applyFill="1" applyBorder="1">
      <alignment/>
      <protection/>
    </xf>
    <xf numFmtId="0" fontId="5" fillId="0" borderId="10" xfId="0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/>
    </xf>
    <xf numFmtId="2" fontId="30" fillId="35" borderId="10" xfId="63" applyNumberFormat="1" applyFont="1" applyFill="1" applyBorder="1">
      <alignment/>
      <protection/>
    </xf>
    <xf numFmtId="9" fontId="14" fillId="0" borderId="0" xfId="84" applyFont="1" applyFill="1" applyAlignment="1">
      <alignment horizontal="left"/>
    </xf>
    <xf numFmtId="0" fontId="5" fillId="34" borderId="42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9" fontId="5" fillId="34" borderId="12" xfId="84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9" fontId="6" fillId="35" borderId="36" xfId="84" applyFont="1" applyFill="1" applyBorder="1" applyAlignment="1">
      <alignment/>
    </xf>
    <xf numFmtId="9" fontId="6" fillId="35" borderId="33" xfId="84" applyFont="1" applyFill="1" applyBorder="1" applyAlignment="1">
      <alignment/>
    </xf>
    <xf numFmtId="9" fontId="5" fillId="34" borderId="10" xfId="84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9" fontId="5" fillId="33" borderId="21" xfId="84" applyFont="1" applyFill="1" applyBorder="1" applyAlignment="1">
      <alignment/>
    </xf>
    <xf numFmtId="9" fontId="5" fillId="33" borderId="19" xfId="84" applyFont="1" applyFill="1" applyBorder="1" applyAlignment="1">
      <alignment/>
    </xf>
    <xf numFmtId="2" fontId="7" fillId="0" borderId="0" xfId="0" applyNumberFormat="1" applyFont="1" applyFill="1" applyAlignment="1">
      <alignment horizontal="center"/>
    </xf>
    <xf numFmtId="2" fontId="14" fillId="36" borderId="10" xfId="84" applyNumberFormat="1" applyFont="1" applyFill="1" applyBorder="1" applyAlignment="1">
      <alignment horizontal="center"/>
    </xf>
    <xf numFmtId="9" fontId="14" fillId="36" borderId="10" xfId="84" applyFont="1" applyFill="1" applyBorder="1" applyAlignment="1">
      <alignment horizontal="center"/>
    </xf>
    <xf numFmtId="1" fontId="8" fillId="33" borderId="10" xfId="84" applyNumberFormat="1" applyFont="1" applyFill="1" applyBorder="1" applyAlignment="1">
      <alignment horizontal="center"/>
    </xf>
    <xf numFmtId="2" fontId="15" fillId="35" borderId="12" xfId="84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9" fontId="9" fillId="0" borderId="0" xfId="84" applyFont="1" applyAlignment="1">
      <alignment/>
    </xf>
    <xf numFmtId="9" fontId="7" fillId="0" borderId="0" xfId="84" applyFont="1" applyAlignment="1">
      <alignment/>
    </xf>
    <xf numFmtId="0" fontId="10" fillId="0" borderId="0" xfId="0" applyFont="1" applyAlignment="1">
      <alignment horizontal="left"/>
    </xf>
    <xf numFmtId="9" fontId="9" fillId="0" borderId="0" xfId="84" applyFont="1" applyAlignment="1">
      <alignment horizontal="left"/>
    </xf>
    <xf numFmtId="0" fontId="8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4" fillId="37" borderId="22" xfId="84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wrapText="1"/>
    </xf>
    <xf numFmtId="1" fontId="36" fillId="0" borderId="10" xfId="0" applyNumberFormat="1" applyFont="1" applyBorder="1" applyAlignment="1">
      <alignment/>
    </xf>
    <xf numFmtId="1" fontId="36" fillId="0" borderId="10" xfId="0" applyNumberFormat="1" applyFont="1" applyBorder="1" applyAlignment="1">
      <alignment horizontal="center"/>
    </xf>
    <xf numFmtId="9" fontId="37" fillId="0" borderId="22" xfId="84" applyFont="1" applyBorder="1" applyAlignment="1">
      <alignment/>
    </xf>
    <xf numFmtId="0" fontId="16" fillId="0" borderId="37" xfId="0" applyFont="1" applyBorder="1" applyAlignment="1">
      <alignment horizontal="center" wrapText="1"/>
    </xf>
    <xf numFmtId="1" fontId="36" fillId="0" borderId="12" xfId="0" applyNumberFormat="1" applyFont="1" applyBorder="1" applyAlignment="1">
      <alignment/>
    </xf>
    <xf numFmtId="1" fontId="36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" fontId="4" fillId="0" borderId="21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 horizontal="center"/>
    </xf>
    <xf numFmtId="1" fontId="36" fillId="0" borderId="21" xfId="0" applyNumberFormat="1" applyFont="1" applyBorder="1" applyAlignment="1">
      <alignment horizontal="center"/>
    </xf>
    <xf numFmtId="9" fontId="37" fillId="0" borderId="19" xfId="84" applyFont="1" applyBorder="1" applyAlignment="1">
      <alignment/>
    </xf>
    <xf numFmtId="0" fontId="4" fillId="34" borderId="14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 vertical="center" wrapText="1"/>
    </xf>
    <xf numFmtId="9" fontId="4" fillId="34" borderId="16" xfId="84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wrapText="1"/>
    </xf>
    <xf numFmtId="1" fontId="36" fillId="35" borderId="10" xfId="0" applyNumberFormat="1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9" fontId="4" fillId="33" borderId="22" xfId="84" applyFont="1" applyFill="1" applyBorder="1" applyAlignment="1">
      <alignment/>
    </xf>
    <xf numFmtId="0" fontId="5" fillId="33" borderId="37" xfId="0" applyFont="1" applyFill="1" applyBorder="1" applyAlignment="1">
      <alignment horizontal="center" wrapText="1"/>
    </xf>
    <xf numFmtId="1" fontId="36" fillId="35" borderId="12" xfId="0" applyNumberFormat="1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wrapText="1"/>
    </xf>
    <xf numFmtId="1" fontId="37" fillId="33" borderId="21" xfId="0" applyNumberFormat="1" applyFont="1" applyFill="1" applyBorder="1" applyAlignment="1">
      <alignment horizontal="center"/>
    </xf>
    <xf numFmtId="9" fontId="37" fillId="33" borderId="19" xfId="84" applyFont="1" applyFill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9" fontId="10" fillId="0" borderId="0" xfId="84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34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9" fontId="10" fillId="0" borderId="22" xfId="84" applyFont="1" applyBorder="1" applyAlignment="1">
      <alignment horizontal="center" vertical="center"/>
    </xf>
    <xf numFmtId="0" fontId="6" fillId="0" borderId="37" xfId="0" applyFont="1" applyBorder="1" applyAlignment="1">
      <alignment horizontal="center" wrapText="1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vertical="center" wrapText="1"/>
    </xf>
    <xf numFmtId="9" fontId="10" fillId="0" borderId="19" xfId="84" applyFont="1" applyBorder="1" applyAlignment="1">
      <alignment horizontal="center" vertical="center"/>
    </xf>
    <xf numFmtId="9" fontId="4" fillId="0" borderId="0" xfId="84" applyFont="1" applyBorder="1" applyAlignment="1">
      <alignment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9" fontId="23" fillId="34" borderId="16" xfId="84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/>
    </xf>
    <xf numFmtId="9" fontId="10" fillId="0" borderId="22" xfId="84" applyFont="1" applyBorder="1" applyAlignment="1">
      <alignment horizontal="center"/>
    </xf>
    <xf numFmtId="0" fontId="22" fillId="0" borderId="37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/>
    </xf>
    <xf numFmtId="0" fontId="22" fillId="0" borderId="18" xfId="0" applyFont="1" applyBorder="1" applyAlignment="1">
      <alignment horizontal="center" wrapText="1"/>
    </xf>
    <xf numFmtId="1" fontId="4" fillId="0" borderId="21" xfId="0" applyNumberFormat="1" applyFont="1" applyBorder="1" applyAlignment="1">
      <alignment/>
    </xf>
    <xf numFmtId="9" fontId="4" fillId="0" borderId="19" xfId="84" applyFont="1" applyBorder="1" applyAlignment="1">
      <alignment horizontal="center"/>
    </xf>
    <xf numFmtId="9" fontId="22" fillId="0" borderId="0" xfId="84" applyFont="1" applyAlignment="1">
      <alignment/>
    </xf>
    <xf numFmtId="0" fontId="4" fillId="0" borderId="0" xfId="0" applyFont="1" applyBorder="1" applyAlignment="1">
      <alignment horizontal="center" wrapText="1"/>
    </xf>
    <xf numFmtId="9" fontId="5" fillId="0" borderId="0" xfId="84" applyFont="1" applyFill="1" applyBorder="1" applyAlignment="1">
      <alignment/>
    </xf>
    <xf numFmtId="0" fontId="0" fillId="0" borderId="10" xfId="70" applyFont="1" applyBorder="1" applyAlignment="1">
      <alignment horizontal="center"/>
      <protection/>
    </xf>
    <xf numFmtId="9" fontId="0" fillId="0" borderId="22" xfId="84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8" fillId="34" borderId="14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9" fontId="8" fillId="34" borderId="15" xfId="84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1" fontId="0" fillId="0" borderId="10" xfId="69" applyNumberFormat="1" applyFont="1" applyBorder="1" applyAlignment="1">
      <alignment horizontal="center" vertical="center"/>
      <protection/>
    </xf>
    <xf numFmtId="0" fontId="0" fillId="0" borderId="0" xfId="69" applyFont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/>
    </xf>
    <xf numFmtId="9" fontId="8" fillId="33" borderId="19" xfId="84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9" fontId="8" fillId="0" borderId="0" xfId="84" applyFont="1" applyBorder="1" applyAlignment="1">
      <alignment/>
    </xf>
    <xf numFmtId="9" fontId="8" fillId="33" borderId="0" xfId="84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1" fontId="0" fillId="0" borderId="44" xfId="84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37" fillId="0" borderId="21" xfId="84" applyNumberFormat="1" applyFont="1" applyBorder="1" applyAlignment="1">
      <alignment horizontal="center"/>
    </xf>
    <xf numFmtId="9" fontId="16" fillId="0" borderId="22" xfId="84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1" fontId="37" fillId="0" borderId="0" xfId="84" applyNumberFormat="1" applyFont="1" applyBorder="1" applyAlignment="1">
      <alignment horizontal="right"/>
    </xf>
    <xf numFmtId="9" fontId="8" fillId="0" borderId="0" xfId="84" applyFont="1" applyFill="1" applyBorder="1" applyAlignment="1">
      <alignment/>
    </xf>
    <xf numFmtId="0" fontId="8" fillId="34" borderId="14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9" fontId="8" fillId="34" borderId="15" xfId="84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1" fontId="0" fillId="0" borderId="44" xfId="84" applyNumberFormat="1" applyFont="1" applyBorder="1" applyAlignment="1">
      <alignment horizontal="right"/>
    </xf>
    <xf numFmtId="9" fontId="0" fillId="0" borderId="22" xfId="84" applyFont="1" applyBorder="1" applyAlignment="1">
      <alignment horizontal="right"/>
    </xf>
    <xf numFmtId="1" fontId="37" fillId="0" borderId="45" xfId="84" applyNumberFormat="1" applyFont="1" applyBorder="1" applyAlignment="1">
      <alignment horizontal="right"/>
    </xf>
    <xf numFmtId="9" fontId="8" fillId="0" borderId="19" xfId="84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70" applyNumberFormat="1" applyFont="1" applyBorder="1" applyAlignment="1">
      <alignment horizontal="center"/>
      <protection/>
    </xf>
    <xf numFmtId="1" fontId="0" fillId="0" borderId="11" xfId="70" applyNumberFormat="1" applyFont="1" applyBorder="1" applyAlignment="1">
      <alignment horizontal="center"/>
      <protection/>
    </xf>
    <xf numFmtId="1" fontId="8" fillId="0" borderId="21" xfId="0" applyNumberFormat="1" applyFont="1" applyFill="1" applyBorder="1" applyAlignment="1">
      <alignment horizontal="center"/>
    </xf>
    <xf numFmtId="1" fontId="37" fillId="0" borderId="45" xfId="84" applyNumberFormat="1" applyFont="1" applyFill="1" applyBorder="1" applyAlignment="1">
      <alignment horizontal="center"/>
    </xf>
    <xf numFmtId="9" fontId="8" fillId="0" borderId="19" xfId="84" applyFont="1" applyFill="1" applyBorder="1" applyAlignment="1">
      <alignment horizontal="center"/>
    </xf>
    <xf numFmtId="0" fontId="0" fillId="0" borderId="28" xfId="70" applyFont="1" applyBorder="1" applyAlignment="1">
      <alignment horizontal="center"/>
      <protection/>
    </xf>
    <xf numFmtId="1" fontId="0" fillId="0" borderId="44" xfId="0" applyNumberFormat="1" applyFont="1" applyBorder="1" applyAlignment="1">
      <alignment horizontal="center"/>
    </xf>
    <xf numFmtId="1" fontId="37" fillId="0" borderId="45" xfId="84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0" fillId="0" borderId="11" xfId="69" applyNumberFormat="1" applyFont="1" applyBorder="1" applyAlignment="1">
      <alignment horizontal="right" vertical="center"/>
      <protection/>
    </xf>
    <xf numFmtId="0" fontId="5" fillId="0" borderId="21" xfId="0" applyFont="1" applyBorder="1" applyAlignment="1">
      <alignment horizontal="center"/>
    </xf>
    <xf numFmtId="1" fontId="16" fillId="0" borderId="21" xfId="70" applyNumberFormat="1" applyFont="1" applyBorder="1" applyAlignment="1">
      <alignment horizontal="center"/>
      <protection/>
    </xf>
    <xf numFmtId="9" fontId="16" fillId="0" borderId="19" xfId="84" applyFont="1" applyBorder="1" applyAlignment="1">
      <alignment/>
    </xf>
    <xf numFmtId="9" fontId="5" fillId="34" borderId="16" xfId="84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6" fillId="0" borderId="21" xfId="70" applyFont="1" applyBorder="1" applyAlignment="1">
      <alignment horizontal="center"/>
      <protection/>
    </xf>
    <xf numFmtId="9" fontId="5" fillId="33" borderId="0" xfId="84" applyFont="1" applyFill="1" applyBorder="1" applyAlignment="1">
      <alignment/>
    </xf>
    <xf numFmtId="9" fontId="5" fillId="34" borderId="36" xfId="84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6" fillId="0" borderId="47" xfId="84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9" fontId="6" fillId="0" borderId="22" xfId="84" applyFont="1" applyBorder="1" applyAlignment="1">
      <alignment/>
    </xf>
    <xf numFmtId="0" fontId="6" fillId="0" borderId="21" xfId="0" applyFont="1" applyBorder="1" applyAlignment="1">
      <alignment wrapText="1"/>
    </xf>
    <xf numFmtId="2" fontId="0" fillId="35" borderId="10" xfId="70" applyNumberFormat="1" applyFont="1" applyFill="1" applyBorder="1" applyAlignment="1">
      <alignment horizontal="center"/>
      <protection/>
    </xf>
    <xf numFmtId="0" fontId="6" fillId="0" borderId="21" xfId="84" applyNumberFormat="1" applyFont="1" applyBorder="1" applyAlignment="1">
      <alignment/>
    </xf>
    <xf numFmtId="0" fontId="8" fillId="0" borderId="0" xfId="0" applyFont="1" applyAlignment="1">
      <alignment horizontal="left"/>
    </xf>
    <xf numFmtId="9" fontId="5" fillId="34" borderId="33" xfId="84" applyFont="1" applyFill="1" applyBorder="1" applyAlignment="1">
      <alignment horizontal="center" wrapText="1"/>
    </xf>
    <xf numFmtId="0" fontId="6" fillId="0" borderId="18" xfId="0" applyFont="1" applyFill="1" applyBorder="1" applyAlignment="1" quotePrefix="1">
      <alignment horizontal="center"/>
    </xf>
    <xf numFmtId="0" fontId="5" fillId="0" borderId="21" xfId="0" applyFont="1" applyBorder="1" applyAlignment="1">
      <alignment horizontal="left"/>
    </xf>
    <xf numFmtId="2" fontId="16" fillId="0" borderId="21" xfId="70" applyNumberFormat="1" applyFont="1" applyBorder="1" applyAlignment="1">
      <alignment horizontal="center"/>
      <protection/>
    </xf>
    <xf numFmtId="0" fontId="6" fillId="0" borderId="18" xfId="0" applyFont="1" applyFill="1" applyBorder="1" applyAlignment="1" quotePrefix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26" fillId="33" borderId="10" xfId="81" applyNumberFormat="1" applyFont="1" applyFill="1" applyBorder="1" applyAlignment="1">
      <alignment horizontal="center"/>
      <protection/>
    </xf>
    <xf numFmtId="185" fontId="0" fillId="0" borderId="0" xfId="69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9" fontId="0" fillId="0" borderId="0" xfId="84" applyFont="1" applyAlignment="1">
      <alignment/>
    </xf>
    <xf numFmtId="2" fontId="5" fillId="0" borderId="0" xfId="0" applyNumberFormat="1" applyFont="1" applyBorder="1" applyAlignment="1">
      <alignment vertical="top"/>
    </xf>
    <xf numFmtId="0" fontId="5" fillId="0" borderId="27" xfId="0" applyFont="1" applyFill="1" applyBorder="1" applyAlignment="1">
      <alignment/>
    </xf>
    <xf numFmtId="9" fontId="5" fillId="34" borderId="32" xfId="84" applyFont="1" applyFill="1" applyBorder="1" applyAlignment="1">
      <alignment horizontal="center" wrapText="1"/>
    </xf>
    <xf numFmtId="0" fontId="5" fillId="0" borderId="25" xfId="0" applyFont="1" applyFill="1" applyBorder="1" applyAlignment="1">
      <alignment/>
    </xf>
    <xf numFmtId="9" fontId="5" fillId="34" borderId="12" xfId="84" applyFont="1" applyFill="1" applyBorder="1" applyAlignment="1">
      <alignment horizontal="center" wrapText="1"/>
    </xf>
    <xf numFmtId="2" fontId="26" fillId="0" borderId="10" xfId="81" applyNumberFormat="1" applyFont="1" applyBorder="1" applyAlignment="1">
      <alignment horizontal="center"/>
      <protection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center" vertical="top" wrapText="1"/>
    </xf>
    <xf numFmtId="9" fontId="5" fillId="0" borderId="0" xfId="84" applyFont="1" applyBorder="1" applyAlignment="1">
      <alignment horizontal="center" vertical="top" wrapText="1"/>
    </xf>
    <xf numFmtId="2" fontId="26" fillId="0" borderId="0" xfId="81" applyNumberFormat="1" applyFont="1" applyBorder="1">
      <alignment/>
      <protection/>
    </xf>
    <xf numFmtId="0" fontId="5" fillId="0" borderId="42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9" fontId="26" fillId="0" borderId="36" xfId="84" applyFont="1" applyBorder="1" applyAlignment="1">
      <alignment horizontal="center"/>
    </xf>
    <xf numFmtId="1" fontId="8" fillId="0" borderId="33" xfId="84" applyNumberFormat="1" applyFont="1" applyBorder="1" applyAlignment="1">
      <alignment horizontal="center" vertical="center"/>
    </xf>
    <xf numFmtId="0" fontId="24" fillId="0" borderId="0" xfId="0" applyFont="1" applyFill="1" applyAlignment="1">
      <alignment/>
    </xf>
    <xf numFmtId="1" fontId="0" fillId="35" borderId="15" xfId="81" applyNumberFormat="1" applyFont="1" applyFill="1" applyBorder="1" applyAlignment="1">
      <alignment horizontal="center"/>
      <protection/>
    </xf>
    <xf numFmtId="1" fontId="0" fillId="35" borderId="10" xfId="81" applyNumberFormat="1" applyFont="1" applyFill="1" applyBorder="1" applyAlignment="1">
      <alignment horizontal="center"/>
      <protection/>
    </xf>
    <xf numFmtId="1" fontId="0" fillId="35" borderId="21" xfId="81" applyNumberFormat="1" applyFont="1" applyFill="1" applyBorder="1" applyAlignment="1">
      <alignment horizontal="center"/>
      <protection/>
    </xf>
    <xf numFmtId="1" fontId="26" fillId="35" borderId="35" xfId="81" applyNumberFormat="1" applyFont="1" applyFill="1" applyBorder="1" applyAlignment="1">
      <alignment horizontal="center"/>
      <protection/>
    </xf>
    <xf numFmtId="2" fontId="26" fillId="35" borderId="35" xfId="81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2" fontId="0" fillId="35" borderId="15" xfId="81" applyNumberFormat="1" applyFont="1" applyFill="1" applyBorder="1" applyAlignment="1">
      <alignment horizontal="center"/>
      <protection/>
    </xf>
    <xf numFmtId="2" fontId="0" fillId="35" borderId="10" xfId="81" applyNumberFormat="1" applyFont="1" applyFill="1" applyBorder="1" applyAlignment="1">
      <alignment horizontal="center"/>
      <protection/>
    </xf>
    <xf numFmtId="2" fontId="0" fillId="35" borderId="21" xfId="81" applyNumberFormat="1" applyFont="1" applyFill="1" applyBorder="1" applyAlignment="1">
      <alignment horizontal="center"/>
      <protection/>
    </xf>
    <xf numFmtId="1" fontId="26" fillId="35" borderId="36" xfId="81" applyNumberFormat="1" applyFont="1" applyFill="1" applyBorder="1" applyAlignment="1">
      <alignment horizontal="center"/>
      <protection/>
    </xf>
    <xf numFmtId="191" fontId="26" fillId="35" borderId="36" xfId="81" applyNumberFormat="1" applyFont="1" applyFill="1" applyBorder="1" applyAlignment="1">
      <alignment horizontal="center"/>
      <protection/>
    </xf>
    <xf numFmtId="2" fontId="26" fillId="35" borderId="36" xfId="81" applyNumberFormat="1" applyFont="1" applyFill="1" applyBorder="1" applyAlignment="1">
      <alignment horizontal="center"/>
      <protection/>
    </xf>
    <xf numFmtId="9" fontId="26" fillId="35" borderId="33" xfId="84" applyFont="1" applyFill="1" applyBorder="1" applyAlignment="1">
      <alignment/>
    </xf>
    <xf numFmtId="2" fontId="26" fillId="0" borderId="0" xfId="81" applyNumberFormat="1" applyFont="1" applyFill="1" applyBorder="1">
      <alignment/>
      <protection/>
    </xf>
    <xf numFmtId="2" fontId="0" fillId="0" borderId="15" xfId="64" applyNumberFormat="1" applyFont="1" applyBorder="1" applyAlignment="1">
      <alignment horizontal="center" vertical="center"/>
      <protection/>
    </xf>
    <xf numFmtId="2" fontId="0" fillId="0" borderId="10" xfId="64" applyNumberFormat="1" applyFont="1" applyBorder="1" applyAlignment="1">
      <alignment horizontal="center" vertical="center"/>
      <protection/>
    </xf>
    <xf numFmtId="2" fontId="0" fillId="0" borderId="21" xfId="64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12" fillId="0" borderId="0" xfId="0" applyFont="1" applyBorder="1" applyAlignment="1">
      <alignment horizontal="right"/>
    </xf>
    <xf numFmtId="2" fontId="5" fillId="0" borderId="11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2" fontId="5" fillId="33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9" fontId="6" fillId="35" borderId="22" xfId="84" applyFont="1" applyFill="1" applyBorder="1" applyAlignment="1">
      <alignment horizontal="right" wrapText="1"/>
    </xf>
    <xf numFmtId="2" fontId="0" fillId="35" borderId="13" xfId="0" applyNumberFormat="1" applyFont="1" applyFill="1" applyBorder="1" applyAlignment="1">
      <alignment horizontal="center"/>
    </xf>
    <xf numFmtId="9" fontId="6" fillId="35" borderId="40" xfId="84" applyFont="1" applyFill="1" applyBorder="1" applyAlignment="1">
      <alignment horizontal="right" wrapText="1"/>
    </xf>
    <xf numFmtId="2" fontId="16" fillId="35" borderId="13" xfId="0" applyNumberFormat="1" applyFont="1" applyFill="1" applyBorder="1" applyAlignment="1">
      <alignment horizontal="center"/>
    </xf>
    <xf numFmtId="9" fontId="5" fillId="35" borderId="19" xfId="84" applyFont="1" applyFill="1" applyBorder="1" applyAlignment="1">
      <alignment horizontal="right" wrapText="1"/>
    </xf>
    <xf numFmtId="0" fontId="6" fillId="35" borderId="0" xfId="0" applyFont="1" applyFill="1" applyAlignment="1">
      <alignment horizontal="center"/>
    </xf>
    <xf numFmtId="9" fontId="6" fillId="35" borderId="0" xfId="84" applyFont="1" applyFill="1" applyAlignment="1">
      <alignment/>
    </xf>
    <xf numFmtId="0" fontId="8" fillId="35" borderId="0" xfId="0" applyFont="1" applyFill="1" applyAlignment="1">
      <alignment/>
    </xf>
    <xf numFmtId="9" fontId="6" fillId="35" borderId="0" xfId="84" applyFont="1" applyFill="1" applyAlignment="1">
      <alignment horizontal="right"/>
    </xf>
    <xf numFmtId="0" fontId="5" fillId="35" borderId="36" xfId="0" applyFont="1" applyFill="1" applyBorder="1" applyAlignment="1">
      <alignment horizontal="center" vertical="center" wrapText="1"/>
    </xf>
    <xf numFmtId="9" fontId="5" fillId="35" borderId="33" xfId="84" applyFont="1" applyFill="1" applyBorder="1" applyAlignment="1">
      <alignment horizontal="center" vertical="center" wrapText="1"/>
    </xf>
    <xf numFmtId="9" fontId="6" fillId="35" borderId="40" xfId="84" applyFont="1" applyFill="1" applyBorder="1" applyAlignment="1">
      <alignment horizontal="center" vertical="center"/>
    </xf>
    <xf numFmtId="9" fontId="6" fillId="35" borderId="22" xfId="84" applyFont="1" applyFill="1" applyBorder="1" applyAlignment="1">
      <alignment horizontal="center" vertical="center"/>
    </xf>
    <xf numFmtId="9" fontId="5" fillId="35" borderId="22" xfId="84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8" fillId="0" borderId="0" xfId="0" applyFont="1" applyBorder="1" applyAlignment="1">
      <alignment horizontal="left" wrapText="1"/>
    </xf>
    <xf numFmtId="2" fontId="5" fillId="0" borderId="25" xfId="0" applyNumberFormat="1" applyFont="1" applyBorder="1" applyAlignment="1">
      <alignment horizontal="center"/>
    </xf>
    <xf numFmtId="2" fontId="6" fillId="0" borderId="0" xfId="84" applyNumberFormat="1" applyFont="1" applyAlignment="1">
      <alignment horizontal="center"/>
    </xf>
    <xf numFmtId="9" fontId="6" fillId="0" borderId="10" xfId="84" applyFont="1" applyBorder="1" applyAlignment="1">
      <alignment horizontal="center"/>
    </xf>
    <xf numFmtId="2" fontId="6" fillId="0" borderId="10" xfId="84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37" borderId="0" xfId="0" applyFont="1" applyFill="1" applyAlignment="1">
      <alignment horizontal="center"/>
    </xf>
    <xf numFmtId="1" fontId="14" fillId="0" borderId="28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4" fillId="37" borderId="51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34" borderId="1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8" fillId="0" borderId="34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9" fontId="5" fillId="0" borderId="0" xfId="84" applyFont="1" applyBorder="1" applyAlignment="1">
      <alignment horizontal="right"/>
    </xf>
    <xf numFmtId="0" fontId="6" fillId="0" borderId="5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60" xfId="0" applyFont="1" applyBorder="1" applyAlignment="1">
      <alignment horizontal="left" wrapText="1"/>
    </xf>
    <xf numFmtId="0" fontId="6" fillId="0" borderId="2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49" xfId="0" applyFont="1" applyBorder="1" applyAlignment="1">
      <alignment horizontal="left" vertical="top" wrapText="1"/>
    </xf>
    <xf numFmtId="2" fontId="14" fillId="35" borderId="12" xfId="0" applyNumberFormat="1" applyFont="1" applyFill="1" applyBorder="1" applyAlignment="1">
      <alignment horizontal="center" vertical="center"/>
    </xf>
    <xf numFmtId="2" fontId="14" fillId="35" borderId="13" xfId="0" applyNumberFormat="1" applyFont="1" applyFill="1" applyBorder="1" applyAlignment="1">
      <alignment horizontal="center" vertical="center"/>
    </xf>
    <xf numFmtId="2" fontId="15" fillId="35" borderId="12" xfId="84" applyNumberFormat="1" applyFont="1" applyFill="1" applyBorder="1" applyAlignment="1">
      <alignment horizontal="center" vertical="center"/>
    </xf>
    <xf numFmtId="2" fontId="15" fillId="35" borderId="13" xfId="84" applyNumberFormat="1" applyFont="1" applyFill="1" applyBorder="1" applyAlignment="1">
      <alignment horizontal="center" vertical="center"/>
    </xf>
    <xf numFmtId="9" fontId="14" fillId="0" borderId="12" xfId="84" applyFont="1" applyBorder="1" applyAlignment="1">
      <alignment horizontal="center" vertical="center"/>
    </xf>
    <xf numFmtId="9" fontId="14" fillId="0" borderId="13" xfId="84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wrapText="1"/>
    </xf>
    <xf numFmtId="0" fontId="5" fillId="0" borderId="5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34" borderId="30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/>
    </xf>
    <xf numFmtId="0" fontId="5" fillId="34" borderId="61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34" borderId="62" xfId="0" applyFont="1" applyFill="1" applyBorder="1" applyAlignment="1">
      <alignment horizontal="center" vertical="top" wrapText="1"/>
    </xf>
    <xf numFmtId="0" fontId="5" fillId="34" borderId="61" xfId="0" applyFont="1" applyFill="1" applyBorder="1" applyAlignment="1">
      <alignment horizontal="center" vertical="top" wrapText="1"/>
    </xf>
    <xf numFmtId="0" fontId="12" fillId="0" borderId="25" xfId="0" applyFont="1" applyBorder="1" applyAlignment="1">
      <alignment horizontal="right"/>
    </xf>
    <xf numFmtId="0" fontId="5" fillId="34" borderId="51" xfId="0" applyFont="1" applyFill="1" applyBorder="1" applyAlignment="1">
      <alignment horizontal="center" vertical="top" wrapText="1"/>
    </xf>
    <xf numFmtId="0" fontId="5" fillId="34" borderId="5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5" fillId="34" borderId="15" xfId="0" applyFont="1" applyFill="1" applyBorder="1" applyAlignment="1">
      <alignment horizontal="center" vertical="top" wrapText="1"/>
    </xf>
    <xf numFmtId="0" fontId="13" fillId="34" borderId="62" xfId="0" applyFont="1" applyFill="1" applyBorder="1" applyAlignment="1">
      <alignment horizontal="center"/>
    </xf>
    <xf numFmtId="0" fontId="13" fillId="34" borderId="52" xfId="0" applyFont="1" applyFill="1" applyBorder="1" applyAlignment="1">
      <alignment horizontal="center"/>
    </xf>
    <xf numFmtId="0" fontId="13" fillId="34" borderId="5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/>
    </xf>
    <xf numFmtId="0" fontId="5" fillId="34" borderId="5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13" fillId="34" borderId="42" xfId="0" applyFont="1" applyFill="1" applyBorder="1" applyAlignment="1">
      <alignment horizontal="center"/>
    </xf>
    <xf numFmtId="0" fontId="13" fillId="34" borderId="49" xfId="0" applyFont="1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2" xfId="63"/>
    <cellStyle name="Normal 2 2" xfId="64"/>
    <cellStyle name="Normal 2 2 2" xfId="65"/>
    <cellStyle name="Normal 2 2 3" xfId="66"/>
    <cellStyle name="Normal 2 3" xfId="67"/>
    <cellStyle name="Normal 2 3 2" xfId="68"/>
    <cellStyle name="Normal 3" xfId="69"/>
    <cellStyle name="Normal 3 2" xfId="70"/>
    <cellStyle name="Normal 3 3" xfId="71"/>
    <cellStyle name="Normal 3 4" xfId="72"/>
    <cellStyle name="Normal 4" xfId="73"/>
    <cellStyle name="Normal 4 2" xfId="74"/>
    <cellStyle name="Normal 5" xfId="75"/>
    <cellStyle name="Normal 6" xfId="76"/>
    <cellStyle name="Normal 6 2" xfId="77"/>
    <cellStyle name="Normal 7" xfId="78"/>
    <cellStyle name="Normal 8" xfId="79"/>
    <cellStyle name="Normal 9" xfId="80"/>
    <cellStyle name="Normal_calculation -utt" xfId="81"/>
    <cellStyle name="Note" xfId="82"/>
    <cellStyle name="Output" xfId="83"/>
    <cellStyle name="Percent" xfId="84"/>
    <cellStyle name="Percent 2" xfId="85"/>
    <cellStyle name="Percent 2 2" xfId="86"/>
    <cellStyle name="Percent 2 2 2" xfId="87"/>
    <cellStyle name="Percent 3" xfId="88"/>
    <cellStyle name="Percent 4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231</xdr:row>
      <xdr:rowOff>0</xdr:rowOff>
    </xdr:from>
    <xdr:to>
      <xdr:col>6</xdr:col>
      <xdr:colOff>533400</xdr:colOff>
      <xdr:row>231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658100" y="57054750"/>
          <a:ext cx="144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233</xdr:row>
      <xdr:rowOff>0</xdr:rowOff>
    </xdr:from>
    <xdr:to>
      <xdr:col>3</xdr:col>
      <xdr:colOff>333375</xdr:colOff>
      <xdr:row>233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4181475" y="574548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233</xdr:row>
      <xdr:rowOff>0</xdr:rowOff>
    </xdr:from>
    <xdr:to>
      <xdr:col>5</xdr:col>
      <xdr:colOff>295275</xdr:colOff>
      <xdr:row>233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591425" y="574548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7"/>
  <sheetViews>
    <sheetView tabSelected="1" view="pageBreakPreview" zoomScale="87" zoomScaleSheetLayoutView="87" workbookViewId="0" topLeftCell="A542">
      <selection activeCell="A1" sqref="A1:K563"/>
    </sheetView>
  </sheetViews>
  <sheetFormatPr defaultColWidth="9.140625" defaultRowHeight="12.75"/>
  <cols>
    <col min="1" max="1" width="18.00390625" style="170" customWidth="1"/>
    <col min="2" max="2" width="24.8515625" style="1" customWidth="1"/>
    <col min="3" max="3" width="19.8515625" style="1" customWidth="1"/>
    <col min="4" max="4" width="36.8515625" style="170" customWidth="1"/>
    <col min="5" max="5" width="14.28125" style="9" customWidth="1"/>
    <col min="6" max="6" width="14.7109375" style="1" customWidth="1"/>
    <col min="7" max="7" width="18.57421875" style="36" customWidth="1"/>
    <col min="8" max="8" width="15.00390625" style="36" hidden="1" customWidth="1"/>
    <col min="9" max="9" width="19.00390625" style="36" hidden="1" customWidth="1"/>
    <col min="10" max="10" width="17.7109375" style="36" hidden="1" customWidth="1"/>
    <col min="11" max="11" width="16.57421875" style="36" customWidth="1"/>
    <col min="12" max="12" width="24.421875" style="36" customWidth="1"/>
    <col min="13" max="13" width="15.00390625" style="36" customWidth="1"/>
    <col min="14" max="15" width="15.00390625" style="1" customWidth="1"/>
    <col min="16" max="16" width="15.421875" style="1" customWidth="1"/>
    <col min="17" max="17" width="13.57421875" style="1" customWidth="1"/>
    <col min="18" max="18" width="15.57421875" style="1" customWidth="1"/>
    <col min="19" max="19" width="13.140625" style="1" customWidth="1"/>
    <col min="20" max="20" width="12.421875" style="1" customWidth="1"/>
    <col min="21" max="16384" width="9.140625" style="1" customWidth="1"/>
  </cols>
  <sheetData>
    <row r="1" spans="1:15" ht="26.25">
      <c r="A1" s="725" t="s">
        <v>0</v>
      </c>
      <c r="B1" s="725"/>
      <c r="C1" s="725"/>
      <c r="D1" s="725"/>
      <c r="E1" s="725"/>
      <c r="F1" s="725"/>
      <c r="G1" s="129"/>
      <c r="H1" s="129"/>
      <c r="I1" s="129"/>
      <c r="J1" s="129"/>
      <c r="K1" s="129"/>
      <c r="L1" s="129"/>
      <c r="M1" s="129"/>
      <c r="N1" s="130"/>
      <c r="O1" s="130"/>
    </row>
    <row r="2" spans="1:15" ht="26.25">
      <c r="A2" s="725" t="s">
        <v>1</v>
      </c>
      <c r="B2" s="725"/>
      <c r="C2" s="725"/>
      <c r="D2" s="725"/>
      <c r="E2" s="725"/>
      <c r="F2" s="725"/>
      <c r="G2" s="517"/>
      <c r="H2" s="517"/>
      <c r="I2" s="517"/>
      <c r="J2" s="517"/>
      <c r="K2" s="517"/>
      <c r="L2" s="517"/>
      <c r="M2" s="517"/>
      <c r="N2" s="517"/>
      <c r="O2" s="517"/>
    </row>
    <row r="3" spans="1:15" ht="26.25">
      <c r="A3" s="725" t="s">
        <v>207</v>
      </c>
      <c r="B3" s="725"/>
      <c r="C3" s="725"/>
      <c r="D3" s="725"/>
      <c r="E3" s="725"/>
      <c r="F3" s="725"/>
      <c r="G3" s="517"/>
      <c r="H3" s="517"/>
      <c r="I3" s="517"/>
      <c r="J3" s="517"/>
      <c r="K3" s="517"/>
      <c r="L3" s="517"/>
      <c r="M3" s="517"/>
      <c r="N3" s="517"/>
      <c r="O3" s="517"/>
    </row>
    <row r="4" spans="1:6" ht="26.25">
      <c r="A4" s="725"/>
      <c r="B4" s="725"/>
      <c r="C4" s="725"/>
      <c r="D4" s="725"/>
      <c r="E4" s="725"/>
      <c r="F4" s="725"/>
    </row>
    <row r="5" spans="1:15" ht="26.25">
      <c r="A5" s="726" t="s">
        <v>171</v>
      </c>
      <c r="B5" s="726"/>
      <c r="C5" s="726"/>
      <c r="D5" s="726"/>
      <c r="E5" s="726"/>
      <c r="F5" s="726"/>
      <c r="G5" s="517"/>
      <c r="H5" s="517"/>
      <c r="I5" s="517"/>
      <c r="J5" s="517"/>
      <c r="K5" s="517"/>
      <c r="L5" s="517"/>
      <c r="M5" s="517"/>
      <c r="N5" s="517"/>
      <c r="O5" s="517"/>
    </row>
    <row r="6" spans="1:8" ht="9.75" customHeight="1">
      <c r="A6" s="378" t="s">
        <v>44</v>
      </c>
      <c r="B6" s="379"/>
      <c r="C6" s="379"/>
      <c r="D6" s="380"/>
      <c r="E6" s="381"/>
      <c r="F6" s="379"/>
      <c r="H6" s="36">
        <f>B16*C23*0.00015</f>
        <v>1205.985</v>
      </c>
    </row>
    <row r="7" spans="1:15" ht="26.25">
      <c r="A7" s="725" t="s">
        <v>2</v>
      </c>
      <c r="B7" s="725"/>
      <c r="C7" s="725"/>
      <c r="D7" s="725"/>
      <c r="E7" s="725"/>
      <c r="F7" s="725"/>
      <c r="G7" s="517"/>
      <c r="H7" s="517"/>
      <c r="I7" s="517"/>
      <c r="J7" s="517"/>
      <c r="K7" s="517"/>
      <c r="L7" s="517"/>
      <c r="M7" s="517"/>
      <c r="N7" s="517"/>
      <c r="O7" s="517"/>
    </row>
    <row r="8" ht="23.25" customHeight="1"/>
    <row r="9" spans="1:5" ht="23.25" customHeight="1">
      <c r="A9" s="799" t="s">
        <v>208</v>
      </c>
      <c r="B9" s="799"/>
      <c r="C9" s="799"/>
      <c r="D9" s="799"/>
      <c r="E9" s="799"/>
    </row>
    <row r="10" spans="1:15" s="7" customFormat="1" ht="14.25" customHeight="1">
      <c r="A10" s="519"/>
      <c r="B10" s="4"/>
      <c r="C10" s="4"/>
      <c r="D10" s="520"/>
      <c r="E10" s="521"/>
      <c r="F10" s="4"/>
      <c r="G10" s="68"/>
      <c r="H10" s="68"/>
      <c r="I10" s="68"/>
      <c r="J10" s="68"/>
      <c r="K10" s="68"/>
      <c r="L10" s="68"/>
      <c r="M10" s="68"/>
      <c r="N10" s="4"/>
      <c r="O10" s="4"/>
    </row>
    <row r="11" spans="1:15" ht="16.5" customHeight="1">
      <c r="A11" s="715" t="s">
        <v>141</v>
      </c>
      <c r="B11" s="715"/>
      <c r="C11" s="715"/>
      <c r="D11" s="715"/>
      <c r="E11" s="522"/>
      <c r="F11" s="3"/>
      <c r="G11" s="69"/>
      <c r="H11" s="69"/>
      <c r="I11" s="69"/>
      <c r="J11" s="69"/>
      <c r="K11" s="69"/>
      <c r="L11" s="69"/>
      <c r="M11" s="69"/>
      <c r="N11" s="3"/>
      <c r="O11" s="3"/>
    </row>
    <row r="12" spans="1:15" s="239" customFormat="1" ht="16.5" thickBot="1">
      <c r="A12" s="518" t="s">
        <v>61</v>
      </c>
      <c r="B12" s="518"/>
      <c r="C12" s="518"/>
      <c r="D12" s="523"/>
      <c r="E12" s="524"/>
      <c r="F12" s="256"/>
      <c r="G12" s="257"/>
      <c r="H12" s="257"/>
      <c r="I12" s="257">
        <f>B15*200*0.0001</f>
        <v>2414.44</v>
      </c>
      <c r="J12" s="257"/>
      <c r="K12" s="257"/>
      <c r="L12" s="257"/>
      <c r="M12" s="257"/>
      <c r="N12" s="256"/>
      <c r="O12" s="256"/>
    </row>
    <row r="13" spans="1:15" ht="18.75" customHeight="1">
      <c r="A13" s="729" t="s">
        <v>80</v>
      </c>
      <c r="B13" s="731" t="s">
        <v>56</v>
      </c>
      <c r="C13" s="732"/>
      <c r="D13" s="732"/>
      <c r="E13" s="733"/>
      <c r="F13" s="3"/>
      <c r="G13" s="69"/>
      <c r="H13" s="69"/>
      <c r="I13" s="69">
        <f>B16*220*0.00015</f>
        <v>1205.985</v>
      </c>
      <c r="J13" s="69"/>
      <c r="K13" s="69"/>
      <c r="L13" s="69"/>
      <c r="M13" s="69"/>
      <c r="N13" s="3"/>
      <c r="O13" s="3"/>
    </row>
    <row r="14" spans="1:15" s="6" customFormat="1" ht="64.5" customHeight="1">
      <c r="A14" s="730"/>
      <c r="B14" s="525" t="s">
        <v>261</v>
      </c>
      <c r="C14" s="525" t="s">
        <v>185</v>
      </c>
      <c r="D14" s="526" t="s">
        <v>6</v>
      </c>
      <c r="E14" s="527" t="s">
        <v>57</v>
      </c>
      <c r="F14" s="5"/>
      <c r="G14" s="70"/>
      <c r="H14" s="70"/>
      <c r="I14" s="70">
        <f>SUM(I12:I13)</f>
        <v>3620.425</v>
      </c>
      <c r="J14" s="70"/>
      <c r="K14" s="70"/>
      <c r="L14" s="70"/>
      <c r="M14" s="70"/>
      <c r="N14" s="5"/>
      <c r="O14" s="5"/>
    </row>
    <row r="15" spans="1:15" ht="15.75">
      <c r="A15" s="528" t="s">
        <v>27</v>
      </c>
      <c r="B15" s="529">
        <v>120722</v>
      </c>
      <c r="C15" s="530">
        <v>117033</v>
      </c>
      <c r="D15" s="530">
        <f>C15-B15</f>
        <v>-3689</v>
      </c>
      <c r="E15" s="531">
        <f>D15/B15</f>
        <v>-0.030557810506784182</v>
      </c>
      <c r="F15" s="3"/>
      <c r="G15" s="69"/>
      <c r="H15" s="69">
        <f>B15*C22*0.0001</f>
        <v>2655.884</v>
      </c>
      <c r="I15" s="69"/>
      <c r="J15" s="69"/>
      <c r="K15" s="69"/>
      <c r="L15" s="387"/>
      <c r="M15" s="69"/>
      <c r="N15" s="3"/>
      <c r="O15" s="3"/>
    </row>
    <row r="16" spans="1:15" ht="15.75">
      <c r="A16" s="528" t="s">
        <v>81</v>
      </c>
      <c r="B16" s="529">
        <v>36545</v>
      </c>
      <c r="C16" s="530">
        <v>37457</v>
      </c>
      <c r="D16" s="530">
        <f>C16-B16</f>
        <v>912</v>
      </c>
      <c r="E16" s="531">
        <f>D16/B16</f>
        <v>0.02495553427281434</v>
      </c>
      <c r="F16" s="3"/>
      <c r="G16" s="69"/>
      <c r="H16" s="69">
        <f>B16*C23*0.00015</f>
        <v>1205.985</v>
      </c>
      <c r="I16" s="69"/>
      <c r="J16" s="69"/>
      <c r="K16" s="69"/>
      <c r="L16" s="69"/>
      <c r="M16" s="69"/>
      <c r="N16" s="3"/>
      <c r="O16" s="3"/>
    </row>
    <row r="17" spans="1:15" ht="15.75">
      <c r="A17" s="532" t="s">
        <v>147</v>
      </c>
      <c r="B17" s="533">
        <v>957</v>
      </c>
      <c r="C17" s="534">
        <v>1981</v>
      </c>
      <c r="D17" s="530">
        <f>C17-B17</f>
        <v>1024</v>
      </c>
      <c r="E17" s="531">
        <f>D17/B17</f>
        <v>1.0700104493207943</v>
      </c>
      <c r="F17" s="3"/>
      <c r="G17" s="69"/>
      <c r="H17" s="69"/>
      <c r="I17" s="69"/>
      <c r="J17" s="69"/>
      <c r="K17" s="69"/>
      <c r="L17" s="69"/>
      <c r="M17" s="69"/>
      <c r="N17" s="3"/>
      <c r="O17" s="3"/>
    </row>
    <row r="18" spans="1:8" ht="16.5" thickBot="1">
      <c r="A18" s="535" t="s">
        <v>20</v>
      </c>
      <c r="B18" s="536">
        <f>SUM(B15:B17)</f>
        <v>158224</v>
      </c>
      <c r="C18" s="537">
        <f>SUM(C15:C17)</f>
        <v>156471</v>
      </c>
      <c r="D18" s="538">
        <f>C18-B18</f>
        <v>-1753</v>
      </c>
      <c r="E18" s="539">
        <f>D18/B18</f>
        <v>-0.011079229446860147</v>
      </c>
      <c r="H18" s="36">
        <f>SUM(H15:H16)</f>
        <v>3861.8689999999997</v>
      </c>
    </row>
    <row r="19" spans="1:9" ht="15.75">
      <c r="A19" s="171"/>
      <c r="B19" s="7"/>
      <c r="C19" s="7"/>
      <c r="D19" s="171"/>
      <c r="E19" s="197"/>
      <c r="I19" s="36">
        <f>B16*C23*0.00015</f>
        <v>1205.985</v>
      </c>
    </row>
    <row r="20" spans="1:9" s="239" customFormat="1" ht="20.25" customHeight="1" thickBot="1">
      <c r="A20" s="518" t="s">
        <v>288</v>
      </c>
      <c r="B20" s="518"/>
      <c r="C20" s="518"/>
      <c r="E20" s="243"/>
      <c r="I20" s="239">
        <f>B15/100000</f>
        <v>1.20722</v>
      </c>
    </row>
    <row r="21" spans="1:13" ht="42.75" customHeight="1">
      <c r="A21" s="116" t="s">
        <v>136</v>
      </c>
      <c r="B21" s="117" t="s">
        <v>80</v>
      </c>
      <c r="C21" s="118" t="s">
        <v>262</v>
      </c>
      <c r="G21" s="1"/>
      <c r="H21" s="1"/>
      <c r="I21" s="1"/>
      <c r="J21" s="1"/>
      <c r="K21" s="1"/>
      <c r="L21" s="1"/>
      <c r="M21" s="1"/>
    </row>
    <row r="22" spans="1:13" ht="20.25" customHeight="1">
      <c r="A22" s="342">
        <v>1</v>
      </c>
      <c r="B22" s="16" t="s">
        <v>137</v>
      </c>
      <c r="C22" s="342">
        <v>220</v>
      </c>
      <c r="G22" s="1"/>
      <c r="H22" s="1"/>
      <c r="I22" s="1"/>
      <c r="J22" s="1"/>
      <c r="K22" s="1"/>
      <c r="L22" s="1"/>
      <c r="M22" s="1"/>
    </row>
    <row r="23" spans="1:13" ht="20.25" customHeight="1">
      <c r="A23" s="342">
        <v>2</v>
      </c>
      <c r="B23" s="16" t="s">
        <v>138</v>
      </c>
      <c r="C23" s="342">
        <v>220</v>
      </c>
      <c r="G23" s="1"/>
      <c r="H23" s="1"/>
      <c r="I23" s="1"/>
      <c r="J23" s="1"/>
      <c r="K23" s="1"/>
      <c r="L23" s="1"/>
      <c r="M23" s="1"/>
    </row>
    <row r="24" spans="1:13" ht="20.25" customHeight="1">
      <c r="A24" s="342">
        <v>3</v>
      </c>
      <c r="B24" s="16" t="s">
        <v>147</v>
      </c>
      <c r="C24" s="342">
        <v>312</v>
      </c>
      <c r="G24" s="1"/>
      <c r="H24" s="1"/>
      <c r="I24" s="1"/>
      <c r="J24" s="1"/>
      <c r="K24" s="1"/>
      <c r="L24" s="1"/>
      <c r="M24" s="1"/>
    </row>
    <row r="25" spans="1:5" ht="15.75">
      <c r="A25" s="171"/>
      <c r="B25" s="7"/>
      <c r="C25" s="7"/>
      <c r="D25" s="171"/>
      <c r="E25" s="197"/>
    </row>
    <row r="26" spans="1:6" ht="27" customHeight="1" thickBot="1">
      <c r="A26" s="736" t="s">
        <v>209</v>
      </c>
      <c r="B26" s="736"/>
      <c r="C26" s="736"/>
      <c r="D26" s="736"/>
      <c r="E26" s="736"/>
      <c r="F26" s="8"/>
    </row>
    <row r="27" spans="1:6" ht="54.75" customHeight="1">
      <c r="A27" s="540" t="s">
        <v>63</v>
      </c>
      <c r="B27" s="117" t="s">
        <v>179</v>
      </c>
      <c r="C27" s="117" t="s">
        <v>210</v>
      </c>
      <c r="D27" s="541" t="s">
        <v>6</v>
      </c>
      <c r="E27" s="542" t="s">
        <v>57</v>
      </c>
      <c r="F27" s="8"/>
    </row>
    <row r="28" spans="1:8" ht="18" customHeight="1">
      <c r="A28" s="543" t="s">
        <v>27</v>
      </c>
      <c r="B28" s="544">
        <v>220</v>
      </c>
      <c r="C28" s="545">
        <v>220</v>
      </c>
      <c r="D28" s="544">
        <f>C28-B28</f>
        <v>0</v>
      </c>
      <c r="E28" s="546">
        <f>D28/B28</f>
        <v>0</v>
      </c>
      <c r="H28" s="36">
        <f>C15*C28*2.89/100000</f>
        <v>744.095814</v>
      </c>
    </row>
    <row r="29" spans="1:8" ht="18" customHeight="1">
      <c r="A29" s="543" t="s">
        <v>81</v>
      </c>
      <c r="B29" s="544">
        <v>220</v>
      </c>
      <c r="C29" s="545">
        <v>220</v>
      </c>
      <c r="D29" s="544">
        <f>C29-B29</f>
        <v>0</v>
      </c>
      <c r="E29" s="546">
        <f>D29/B29</f>
        <v>0</v>
      </c>
      <c r="H29" s="36">
        <f>C16*C29*4.33/100000</f>
        <v>356.81538200000006</v>
      </c>
    </row>
    <row r="30" spans="1:5" ht="18" customHeight="1">
      <c r="A30" s="547" t="s">
        <v>147</v>
      </c>
      <c r="B30" s="548">
        <v>312</v>
      </c>
      <c r="C30" s="549">
        <v>312</v>
      </c>
      <c r="D30" s="544">
        <f>C30-B30</f>
        <v>0</v>
      </c>
      <c r="E30" s="546">
        <f>D30/B30</f>
        <v>0</v>
      </c>
    </row>
    <row r="31" spans="1:5" ht="18" customHeight="1" thickBot="1">
      <c r="A31" s="550" t="s">
        <v>78</v>
      </c>
      <c r="B31" s="551">
        <f>AVERAGE(B28:B30)</f>
        <v>250.66666666666666</v>
      </c>
      <c r="C31" s="551">
        <f>AVERAGE(C28:C30)</f>
        <v>250.66666666666666</v>
      </c>
      <c r="D31" s="551">
        <f>AVERAGE(D28:D30)</f>
        <v>0</v>
      </c>
      <c r="E31" s="552">
        <f>AVERAGE(E28:E30)</f>
        <v>0</v>
      </c>
    </row>
    <row r="32" spans="1:9" ht="15.75">
      <c r="A32" s="553"/>
      <c r="B32" s="554"/>
      <c r="C32" s="554"/>
      <c r="D32" s="555"/>
      <c r="E32" s="556"/>
      <c r="I32" s="36">
        <f>B15*230*0.0001</f>
        <v>2776.606</v>
      </c>
    </row>
    <row r="33" spans="1:9" ht="15.75">
      <c r="A33" s="737" t="s">
        <v>82</v>
      </c>
      <c r="B33" s="737"/>
      <c r="C33" s="737"/>
      <c r="D33" s="737"/>
      <c r="E33" s="556"/>
      <c r="I33" s="36">
        <f>B16*230*0.00015</f>
        <v>1260.8024999999998</v>
      </c>
    </row>
    <row r="34" spans="1:5" ht="16.5" thickBot="1">
      <c r="A34" s="737" t="s">
        <v>211</v>
      </c>
      <c r="B34" s="737"/>
      <c r="C34" s="737"/>
      <c r="D34" s="737"/>
      <c r="E34" s="556"/>
    </row>
    <row r="35" spans="1:15" s="6" customFormat="1" ht="45">
      <c r="A35" s="558" t="s">
        <v>63</v>
      </c>
      <c r="B35" s="131" t="s">
        <v>59</v>
      </c>
      <c r="C35" s="131" t="s">
        <v>180</v>
      </c>
      <c r="D35" s="541" t="s">
        <v>60</v>
      </c>
      <c r="E35" s="542" t="s">
        <v>57</v>
      </c>
      <c r="F35" s="5"/>
      <c r="G35" s="70"/>
      <c r="H35" s="110" t="s">
        <v>128</v>
      </c>
      <c r="I35" s="110"/>
      <c r="J35" s="110"/>
      <c r="K35" s="110"/>
      <c r="L35" s="110"/>
      <c r="M35" s="110"/>
      <c r="N35" s="5"/>
      <c r="O35" s="5"/>
    </row>
    <row r="36" spans="1:15" s="6" customFormat="1" ht="15.75">
      <c r="A36" s="559" t="s">
        <v>27</v>
      </c>
      <c r="B36" s="560">
        <f>B15*B28</f>
        <v>26558840</v>
      </c>
      <c r="C36" s="561">
        <v>25747260</v>
      </c>
      <c r="D36" s="562">
        <f>C36-B36</f>
        <v>-811580</v>
      </c>
      <c r="E36" s="563">
        <f>D36/B36</f>
        <v>-0.030557810506784182</v>
      </c>
      <c r="F36" s="5"/>
      <c r="G36" s="70"/>
      <c r="H36" s="110">
        <v>13170020</v>
      </c>
      <c r="I36" s="110"/>
      <c r="J36" s="110"/>
      <c r="K36" s="110"/>
      <c r="L36" s="110"/>
      <c r="M36" s="110"/>
      <c r="N36" s="70"/>
      <c r="O36" s="5"/>
    </row>
    <row r="37" spans="1:15" s="6" customFormat="1" ht="15.75">
      <c r="A37" s="559" t="s">
        <v>81</v>
      </c>
      <c r="B37" s="560">
        <f>B16*B29</f>
        <v>8039900</v>
      </c>
      <c r="C37" s="561">
        <v>8240540</v>
      </c>
      <c r="D37" s="562">
        <f>C37-B37</f>
        <v>200640</v>
      </c>
      <c r="E37" s="563">
        <f>D37/B37</f>
        <v>0.02495553427281434</v>
      </c>
      <c r="F37" s="5"/>
      <c r="G37" s="70"/>
      <c r="H37" s="70">
        <v>9048602</v>
      </c>
      <c r="I37" s="70"/>
      <c r="J37" s="70"/>
      <c r="K37" s="70"/>
      <c r="L37" s="70"/>
      <c r="M37" s="70"/>
      <c r="N37" s="70"/>
      <c r="O37" s="5"/>
    </row>
    <row r="38" spans="1:15" s="6" customFormat="1" ht="15.75">
      <c r="A38" s="564" t="s">
        <v>147</v>
      </c>
      <c r="B38" s="565">
        <f>B17*B30</f>
        <v>298584</v>
      </c>
      <c r="C38" s="561">
        <v>618072</v>
      </c>
      <c r="D38" s="562">
        <f>C38-B38</f>
        <v>319488</v>
      </c>
      <c r="E38" s="563">
        <f>D38/B38</f>
        <v>1.0700104493207943</v>
      </c>
      <c r="F38" s="5"/>
      <c r="G38" s="70"/>
      <c r="H38" s="70"/>
      <c r="I38" s="70"/>
      <c r="J38" s="70"/>
      <c r="K38" s="70"/>
      <c r="L38" s="70"/>
      <c r="M38" s="70"/>
      <c r="N38" s="70"/>
      <c r="O38" s="5"/>
    </row>
    <row r="39" spans="1:5" ht="16.5" thickBot="1">
      <c r="A39" s="566" t="s">
        <v>20</v>
      </c>
      <c r="B39" s="537">
        <f>SUM(B36:B38)</f>
        <v>34897324</v>
      </c>
      <c r="C39" s="537">
        <f>SUM(C36:C38)</f>
        <v>34605872</v>
      </c>
      <c r="D39" s="567">
        <f>C39-B39</f>
        <v>-291452</v>
      </c>
      <c r="E39" s="568">
        <f>D39/B39</f>
        <v>-0.008351700548729754</v>
      </c>
    </row>
    <row r="40" spans="1:5" ht="15.75">
      <c r="A40" s="553"/>
      <c r="B40" s="554"/>
      <c r="C40" s="554"/>
      <c r="D40" s="555"/>
      <c r="E40" s="569"/>
    </row>
    <row r="41" spans="1:13" s="93" customFormat="1" ht="12.75" customHeight="1" thickBot="1">
      <c r="A41" s="738" t="s">
        <v>212</v>
      </c>
      <c r="B41" s="738"/>
      <c r="C41" s="738"/>
      <c r="D41" s="738"/>
      <c r="E41" s="738"/>
      <c r="F41" s="738"/>
      <c r="G41" s="738"/>
      <c r="H41" s="738"/>
      <c r="I41" s="109"/>
      <c r="J41" s="109"/>
      <c r="K41" s="109"/>
      <c r="L41" s="109"/>
      <c r="M41" s="109"/>
    </row>
    <row r="42" spans="1:5" s="93" customFormat="1" ht="51" customHeight="1">
      <c r="A42" s="570" t="s">
        <v>63</v>
      </c>
      <c r="B42" s="571" t="s">
        <v>213</v>
      </c>
      <c r="C42" s="739" t="s">
        <v>214</v>
      </c>
      <c r="D42" s="739"/>
      <c r="E42" s="572" t="s">
        <v>90</v>
      </c>
    </row>
    <row r="43" spans="1:5" s="93" customFormat="1" ht="21" customHeight="1">
      <c r="A43" s="573" t="s">
        <v>91</v>
      </c>
      <c r="B43" s="574">
        <v>26558840</v>
      </c>
      <c r="C43" s="727">
        <f>C36</f>
        <v>25747260</v>
      </c>
      <c r="D43" s="728"/>
      <c r="E43" s="575">
        <f>C43/B43</f>
        <v>0.9694421894932158</v>
      </c>
    </row>
    <row r="44" spans="1:5" s="93" customFormat="1" ht="21" customHeight="1">
      <c r="A44" s="573" t="s">
        <v>92</v>
      </c>
      <c r="B44" s="574">
        <f>B16*220</f>
        <v>8039900</v>
      </c>
      <c r="C44" s="727">
        <f>C37</f>
        <v>8240540</v>
      </c>
      <c r="D44" s="728"/>
      <c r="E44" s="575">
        <f>C44/B44</f>
        <v>1.0249555342728143</v>
      </c>
    </row>
    <row r="45" spans="1:5" s="93" customFormat="1" ht="21" customHeight="1">
      <c r="A45" s="576" t="s">
        <v>147</v>
      </c>
      <c r="B45" s="577">
        <f>B17*312</f>
        <v>298584</v>
      </c>
      <c r="C45" s="727">
        <f>C38</f>
        <v>618072</v>
      </c>
      <c r="D45" s="728"/>
      <c r="E45" s="575">
        <f>C45/B45</f>
        <v>2.0700104493207943</v>
      </c>
    </row>
    <row r="46" spans="1:7" s="93" customFormat="1" ht="18" customHeight="1" thickBot="1">
      <c r="A46" s="578" t="s">
        <v>58</v>
      </c>
      <c r="B46" s="579">
        <f>SUM(B43:B45)</f>
        <v>34897324</v>
      </c>
      <c r="C46" s="734">
        <f>SUM(C43:D45)</f>
        <v>34605872</v>
      </c>
      <c r="D46" s="735"/>
      <c r="E46" s="580">
        <f>C46/B46</f>
        <v>0.9916482994512702</v>
      </c>
      <c r="G46" s="581"/>
    </row>
    <row r="47" spans="1:15" s="6" customFormat="1" ht="15" customHeight="1">
      <c r="A47" s="582"/>
      <c r="B47" s="557"/>
      <c r="C47" s="557"/>
      <c r="D47" s="553"/>
      <c r="E47" s="556"/>
      <c r="F47" s="1"/>
      <c r="G47" s="70"/>
      <c r="H47" s="70"/>
      <c r="I47" s="70"/>
      <c r="J47" s="70"/>
      <c r="K47" s="70"/>
      <c r="L47" s="70"/>
      <c r="M47" s="70"/>
      <c r="N47" s="5"/>
      <c r="O47" s="5"/>
    </row>
    <row r="48" spans="1:13" s="2" customFormat="1" ht="15">
      <c r="A48" s="217"/>
      <c r="B48" s="12"/>
      <c r="C48" s="12"/>
      <c r="D48" s="172"/>
      <c r="E48" s="13"/>
      <c r="F48" s="1"/>
      <c r="G48" s="71"/>
      <c r="H48" s="71"/>
      <c r="I48" s="71"/>
      <c r="J48" s="71"/>
      <c r="K48" s="71"/>
      <c r="L48" s="71"/>
      <c r="M48" s="71"/>
    </row>
    <row r="49" spans="1:13" s="2" customFormat="1" ht="15">
      <c r="A49" s="217"/>
      <c r="B49" s="12"/>
      <c r="C49" s="12"/>
      <c r="D49" s="172"/>
      <c r="E49" s="13"/>
      <c r="F49" s="1"/>
      <c r="G49" s="71"/>
      <c r="H49" s="71"/>
      <c r="I49" s="71"/>
      <c r="J49" s="71"/>
      <c r="K49" s="71"/>
      <c r="L49" s="71"/>
      <c r="M49" s="71"/>
    </row>
    <row r="50" spans="1:15" ht="18" customHeight="1">
      <c r="A50" s="715" t="s">
        <v>142</v>
      </c>
      <c r="B50" s="715"/>
      <c r="C50" s="715"/>
      <c r="D50" s="14"/>
      <c r="E50" s="583"/>
      <c r="G50" s="72"/>
      <c r="H50" s="72"/>
      <c r="I50" s="72"/>
      <c r="J50" s="72"/>
      <c r="K50" s="72"/>
      <c r="L50" s="72"/>
      <c r="M50" s="72"/>
      <c r="N50" s="9"/>
      <c r="O50" s="9"/>
    </row>
    <row r="51" spans="1:15" ht="18" customHeight="1" thickBot="1">
      <c r="A51" s="715" t="s">
        <v>215</v>
      </c>
      <c r="B51" s="715"/>
      <c r="C51" s="715"/>
      <c r="D51" s="715"/>
      <c r="E51" s="715"/>
      <c r="F51" s="715"/>
      <c r="G51" s="715"/>
      <c r="H51" s="64"/>
      <c r="I51" s="64"/>
      <c r="J51" s="64"/>
      <c r="K51" s="64"/>
      <c r="L51" s="64"/>
      <c r="M51" s="64"/>
      <c r="N51" s="64"/>
      <c r="O51" s="64"/>
    </row>
    <row r="52" spans="1:15" ht="43.5" customHeight="1">
      <c r="A52" s="133" t="s">
        <v>3</v>
      </c>
      <c r="B52" s="134" t="s">
        <v>64</v>
      </c>
      <c r="C52" s="134" t="s">
        <v>65</v>
      </c>
      <c r="D52" s="134" t="s">
        <v>94</v>
      </c>
      <c r="E52" s="135" t="s">
        <v>66</v>
      </c>
      <c r="F52" s="136" t="s">
        <v>67</v>
      </c>
      <c r="G52" s="72"/>
      <c r="H52" s="72"/>
      <c r="I52" s="72"/>
      <c r="J52" s="72"/>
      <c r="K52" s="72"/>
      <c r="L52" s="72"/>
      <c r="M52" s="72"/>
      <c r="N52" s="9"/>
      <c r="O52" s="9"/>
    </row>
    <row r="53" spans="1:15" ht="16.5" customHeight="1">
      <c r="A53" s="232">
        <v>1</v>
      </c>
      <c r="B53" s="287" t="s">
        <v>156</v>
      </c>
      <c r="C53" s="233">
        <v>135</v>
      </c>
      <c r="D53" s="584">
        <v>135</v>
      </c>
      <c r="E53" s="233">
        <f aca="true" t="shared" si="0" ref="E53:E64">C53-D53</f>
        <v>0</v>
      </c>
      <c r="F53" s="585">
        <f>E53/C53</f>
        <v>0</v>
      </c>
      <c r="G53" s="72"/>
      <c r="H53" s="72"/>
      <c r="I53" s="72"/>
      <c r="J53" s="72"/>
      <c r="K53" s="72"/>
      <c r="L53" s="72"/>
      <c r="M53" s="72"/>
      <c r="N53" s="9"/>
      <c r="O53" s="9"/>
    </row>
    <row r="54" spans="1:15" ht="18.75" customHeight="1">
      <c r="A54" s="232">
        <v>2</v>
      </c>
      <c r="B54" s="287" t="s">
        <v>157</v>
      </c>
      <c r="C54" s="233">
        <v>67</v>
      </c>
      <c r="D54" s="584">
        <v>67</v>
      </c>
      <c r="E54" s="233">
        <f t="shared" si="0"/>
        <v>0</v>
      </c>
      <c r="F54" s="585">
        <f aca="true" t="shared" si="1" ref="F54:F63">E54/C54</f>
        <v>0</v>
      </c>
      <c r="G54" s="72"/>
      <c r="H54" s="72"/>
      <c r="I54" s="72"/>
      <c r="J54" s="72"/>
      <c r="K54" s="72"/>
      <c r="L54" s="72"/>
      <c r="M54" s="72"/>
      <c r="N54" s="9"/>
      <c r="O54" s="9"/>
    </row>
    <row r="55" spans="1:15" ht="15.75" customHeight="1">
      <c r="A55" s="232">
        <v>3</v>
      </c>
      <c r="B55" s="287" t="s">
        <v>158</v>
      </c>
      <c r="C55" s="233">
        <v>109</v>
      </c>
      <c r="D55" s="584">
        <v>109</v>
      </c>
      <c r="E55" s="233">
        <f t="shared" si="0"/>
        <v>0</v>
      </c>
      <c r="F55" s="585">
        <f t="shared" si="1"/>
        <v>0</v>
      </c>
      <c r="G55" s="72"/>
      <c r="H55" s="72"/>
      <c r="I55" s="72"/>
      <c r="J55" s="72"/>
      <c r="K55" s="72"/>
      <c r="L55" s="72"/>
      <c r="M55" s="72"/>
      <c r="N55" s="9"/>
      <c r="O55" s="9"/>
    </row>
    <row r="56" spans="1:15" ht="17.25" customHeight="1">
      <c r="A56" s="232">
        <v>4</v>
      </c>
      <c r="B56" s="287" t="s">
        <v>159</v>
      </c>
      <c r="C56" s="233">
        <v>55</v>
      </c>
      <c r="D56" s="584">
        <v>55</v>
      </c>
      <c r="E56" s="233">
        <f t="shared" si="0"/>
        <v>0</v>
      </c>
      <c r="F56" s="585">
        <f t="shared" si="1"/>
        <v>0</v>
      </c>
      <c r="G56" s="72"/>
      <c r="H56" s="72"/>
      <c r="I56" s="72"/>
      <c r="J56" s="72"/>
      <c r="K56" s="72"/>
      <c r="L56" s="72"/>
      <c r="M56" s="72"/>
      <c r="N56" s="9"/>
      <c r="O56" s="9"/>
    </row>
    <row r="57" spans="1:15" ht="16.5" customHeight="1">
      <c r="A57" s="232">
        <v>5</v>
      </c>
      <c r="B57" s="287" t="s">
        <v>160</v>
      </c>
      <c r="C57" s="233">
        <v>130</v>
      </c>
      <c r="D57" s="584">
        <v>130</v>
      </c>
      <c r="E57" s="233">
        <f t="shared" si="0"/>
        <v>0</v>
      </c>
      <c r="F57" s="585">
        <f t="shared" si="1"/>
        <v>0</v>
      </c>
      <c r="G57" s="72"/>
      <c r="H57" s="72"/>
      <c r="I57" s="72"/>
      <c r="J57" s="72"/>
      <c r="K57" s="72"/>
      <c r="L57" s="72"/>
      <c r="M57" s="72"/>
      <c r="N57" s="9"/>
      <c r="O57" s="9"/>
    </row>
    <row r="58" spans="1:15" ht="15">
      <c r="A58" s="232">
        <v>6</v>
      </c>
      <c r="B58" s="287" t="s">
        <v>161</v>
      </c>
      <c r="C58" s="233">
        <v>137</v>
      </c>
      <c r="D58" s="584">
        <v>137</v>
      </c>
      <c r="E58" s="233">
        <f t="shared" si="0"/>
        <v>0</v>
      </c>
      <c r="F58" s="585">
        <f t="shared" si="1"/>
        <v>0</v>
      </c>
      <c r="G58" s="72"/>
      <c r="H58" s="72"/>
      <c r="I58" s="72"/>
      <c r="J58" s="72"/>
      <c r="K58" s="72"/>
      <c r="L58" s="72"/>
      <c r="M58" s="72"/>
      <c r="N58" s="9"/>
      <c r="O58" s="9"/>
    </row>
    <row r="59" spans="1:15" ht="15">
      <c r="A59" s="232">
        <v>7</v>
      </c>
      <c r="B59" s="287" t="s">
        <v>162</v>
      </c>
      <c r="C59" s="233">
        <v>73</v>
      </c>
      <c r="D59" s="584">
        <v>73</v>
      </c>
      <c r="E59" s="233">
        <f t="shared" si="0"/>
        <v>0</v>
      </c>
      <c r="F59" s="585">
        <f t="shared" si="1"/>
        <v>0</v>
      </c>
      <c r="G59" s="72"/>
      <c r="H59" s="72"/>
      <c r="I59" s="72"/>
      <c r="J59" s="72"/>
      <c r="K59" s="72"/>
      <c r="L59" s="72"/>
      <c r="M59" s="72"/>
      <c r="N59" s="9"/>
      <c r="O59" s="9"/>
    </row>
    <row r="60" spans="1:15" ht="15">
      <c r="A60" s="232">
        <v>8</v>
      </c>
      <c r="B60" s="287" t="s">
        <v>163</v>
      </c>
      <c r="C60" s="233">
        <v>105</v>
      </c>
      <c r="D60" s="584">
        <v>105</v>
      </c>
      <c r="E60" s="233">
        <f t="shared" si="0"/>
        <v>0</v>
      </c>
      <c r="F60" s="585">
        <f t="shared" si="1"/>
        <v>0</v>
      </c>
      <c r="G60" s="72"/>
      <c r="H60" s="72"/>
      <c r="I60" s="72"/>
      <c r="J60" s="72"/>
      <c r="K60" s="72"/>
      <c r="L60" s="72"/>
      <c r="M60" s="72"/>
      <c r="N60" s="9"/>
      <c r="O60" s="9"/>
    </row>
    <row r="61" spans="1:15" ht="15">
      <c r="A61" s="232">
        <v>9</v>
      </c>
      <c r="B61" s="287" t="s">
        <v>164</v>
      </c>
      <c r="C61" s="233">
        <v>115</v>
      </c>
      <c r="D61" s="584">
        <v>115</v>
      </c>
      <c r="E61" s="233">
        <f t="shared" si="0"/>
        <v>0</v>
      </c>
      <c r="F61" s="585">
        <f t="shared" si="1"/>
        <v>0</v>
      </c>
      <c r="G61" s="72"/>
      <c r="H61" s="72"/>
      <c r="I61" s="72"/>
      <c r="J61" s="72"/>
      <c r="K61" s="72"/>
      <c r="L61" s="72"/>
      <c r="M61" s="72"/>
      <c r="N61" s="9"/>
      <c r="O61" s="9"/>
    </row>
    <row r="62" spans="1:15" ht="15">
      <c r="A62" s="232">
        <v>10</v>
      </c>
      <c r="B62" s="287" t="s">
        <v>165</v>
      </c>
      <c r="C62" s="233">
        <v>97</v>
      </c>
      <c r="D62" s="584">
        <v>97</v>
      </c>
      <c r="E62" s="233">
        <f t="shared" si="0"/>
        <v>0</v>
      </c>
      <c r="F62" s="585">
        <f t="shared" si="1"/>
        <v>0</v>
      </c>
      <c r="G62" s="72"/>
      <c r="H62" s="72"/>
      <c r="I62" s="72"/>
      <c r="J62" s="72"/>
      <c r="K62" s="72"/>
      <c r="L62" s="72"/>
      <c r="M62" s="72"/>
      <c r="N62" s="9"/>
      <c r="O62" s="9"/>
    </row>
    <row r="63" spans="1:15" ht="15.75" customHeight="1">
      <c r="A63" s="232">
        <v>11</v>
      </c>
      <c r="B63" s="287" t="s">
        <v>166</v>
      </c>
      <c r="C63" s="233">
        <v>123</v>
      </c>
      <c r="D63" s="584">
        <v>123</v>
      </c>
      <c r="E63" s="233">
        <f t="shared" si="0"/>
        <v>0</v>
      </c>
      <c r="F63" s="585">
        <f t="shared" si="1"/>
        <v>0</v>
      </c>
      <c r="G63" s="72"/>
      <c r="H63" s="72"/>
      <c r="I63" s="72"/>
      <c r="J63" s="72"/>
      <c r="K63" s="72"/>
      <c r="L63" s="72"/>
      <c r="M63" s="72"/>
      <c r="N63" s="9"/>
      <c r="O63" s="9"/>
    </row>
    <row r="64" spans="1:15" ht="22.5" customHeight="1" thickBot="1">
      <c r="A64" s="586"/>
      <c r="B64" s="587" t="s">
        <v>20</v>
      </c>
      <c r="C64" s="588">
        <v>1146</v>
      </c>
      <c r="D64" s="588">
        <v>1146</v>
      </c>
      <c r="E64" s="589">
        <f t="shared" si="0"/>
        <v>0</v>
      </c>
      <c r="F64" s="132">
        <f>E64/C64</f>
        <v>0</v>
      </c>
      <c r="G64" s="72"/>
      <c r="H64" s="72"/>
      <c r="I64" s="72"/>
      <c r="J64" s="72"/>
      <c r="K64" s="72"/>
      <c r="L64" s="72"/>
      <c r="M64" s="72"/>
      <c r="N64" s="9"/>
      <c r="O64" s="9"/>
    </row>
    <row r="65" spans="1:18" ht="12.75" customHeight="1">
      <c r="A65" s="217"/>
      <c r="B65" s="111"/>
      <c r="C65" s="112"/>
      <c r="D65" s="186"/>
      <c r="E65" s="198"/>
      <c r="F65" s="19"/>
      <c r="G65" s="72"/>
      <c r="H65" s="717" t="s">
        <v>150</v>
      </c>
      <c r="I65" s="717"/>
      <c r="J65" s="717"/>
      <c r="K65" s="72"/>
      <c r="L65" s="719" t="s">
        <v>169</v>
      </c>
      <c r="M65" s="719"/>
      <c r="N65" s="719"/>
      <c r="P65" s="718" t="s">
        <v>188</v>
      </c>
      <c r="Q65" s="718"/>
      <c r="R65" s="718"/>
    </row>
    <row r="66" spans="1:15" ht="21.75" customHeight="1" thickBot="1">
      <c r="A66" s="277" t="s">
        <v>216</v>
      </c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517"/>
      <c r="M66" s="517"/>
      <c r="N66" s="517"/>
      <c r="O66" s="517"/>
    </row>
    <row r="67" spans="1:18" ht="45.75" customHeight="1">
      <c r="A67" s="590" t="s">
        <v>3</v>
      </c>
      <c r="B67" s="591" t="s">
        <v>64</v>
      </c>
      <c r="C67" s="591" t="s">
        <v>65</v>
      </c>
      <c r="D67" s="134" t="s">
        <v>94</v>
      </c>
      <c r="E67" s="592" t="s">
        <v>66</v>
      </c>
      <c r="F67" s="593" t="s">
        <v>67</v>
      </c>
      <c r="G67" s="73"/>
      <c r="H67" s="261" t="s">
        <v>148</v>
      </c>
      <c r="I67" s="261" t="s">
        <v>149</v>
      </c>
      <c r="J67" s="261" t="s">
        <v>20</v>
      </c>
      <c r="K67" s="73"/>
      <c r="L67" s="392" t="s">
        <v>167</v>
      </c>
      <c r="M67" s="392" t="s">
        <v>168</v>
      </c>
      <c r="N67" s="392" t="s">
        <v>20</v>
      </c>
      <c r="P67" s="392" t="s">
        <v>167</v>
      </c>
      <c r="Q67" s="392" t="s">
        <v>168</v>
      </c>
      <c r="R67" s="392" t="s">
        <v>20</v>
      </c>
    </row>
    <row r="68" spans="1:18" ht="18" customHeight="1">
      <c r="A68" s="232">
        <v>1</v>
      </c>
      <c r="B68" s="287" t="s">
        <v>156</v>
      </c>
      <c r="C68" s="584">
        <v>171</v>
      </c>
      <c r="D68" s="584">
        <v>171</v>
      </c>
      <c r="E68" s="233">
        <f>C68-D68</f>
        <v>0</v>
      </c>
      <c r="F68" s="585">
        <f>E68/C68</f>
        <v>0</v>
      </c>
      <c r="G68" s="73"/>
      <c r="H68" s="262">
        <v>10</v>
      </c>
      <c r="I68" s="261">
        <v>616</v>
      </c>
      <c r="J68" s="261">
        <f>SUM(H68:I68)</f>
        <v>626</v>
      </c>
      <c r="K68" s="73"/>
      <c r="L68" s="233">
        <v>136</v>
      </c>
      <c r="M68" s="233">
        <v>35</v>
      </c>
      <c r="N68" s="594">
        <f>SUM(L68:M68)</f>
        <v>171</v>
      </c>
      <c r="O68" s="595"/>
      <c r="P68" s="233">
        <v>138</v>
      </c>
      <c r="Q68" s="233">
        <v>34</v>
      </c>
      <c r="R68" s="342">
        <f>SUM(P68:Q68)</f>
        <v>172</v>
      </c>
    </row>
    <row r="69" spans="1:18" ht="18" customHeight="1">
      <c r="A69" s="232">
        <v>2</v>
      </c>
      <c r="B69" s="287" t="s">
        <v>157</v>
      </c>
      <c r="C69" s="584">
        <v>74</v>
      </c>
      <c r="D69" s="584">
        <v>74</v>
      </c>
      <c r="E69" s="233">
        <f aca="true" t="shared" si="2" ref="E69:E78">C69-D69</f>
        <v>0</v>
      </c>
      <c r="F69" s="585">
        <f aca="true" t="shared" si="3" ref="F69:F78">E69/C69</f>
        <v>0</v>
      </c>
      <c r="G69" s="73"/>
      <c r="H69" s="262">
        <v>1</v>
      </c>
      <c r="I69" s="261">
        <v>268</v>
      </c>
      <c r="J69" s="261">
        <f aca="true" t="shared" si="4" ref="J69:J78">SUM(H69:I69)</f>
        <v>269</v>
      </c>
      <c r="K69" s="73"/>
      <c r="L69" s="233">
        <v>60</v>
      </c>
      <c r="M69" s="233">
        <v>14</v>
      </c>
      <c r="N69" s="594">
        <f aca="true" t="shared" si="5" ref="N69:N78">SUM(L69:M69)</f>
        <v>74</v>
      </c>
      <c r="O69" s="595"/>
      <c r="P69" s="233">
        <v>38</v>
      </c>
      <c r="Q69" s="233">
        <v>14</v>
      </c>
      <c r="R69" s="342">
        <f aca="true" t="shared" si="6" ref="R69:R79">SUM(P69:Q69)</f>
        <v>52</v>
      </c>
    </row>
    <row r="70" spans="1:18" ht="18" customHeight="1">
      <c r="A70" s="232">
        <v>3</v>
      </c>
      <c r="B70" s="287" t="s">
        <v>158</v>
      </c>
      <c r="C70" s="584">
        <v>60</v>
      </c>
      <c r="D70" s="584">
        <v>60</v>
      </c>
      <c r="E70" s="233">
        <f t="shared" si="2"/>
        <v>0</v>
      </c>
      <c r="F70" s="585">
        <f t="shared" si="3"/>
        <v>0</v>
      </c>
      <c r="G70" s="73"/>
      <c r="H70" s="262">
        <v>7</v>
      </c>
      <c r="I70" s="261">
        <v>600</v>
      </c>
      <c r="J70" s="261">
        <f t="shared" si="4"/>
        <v>607</v>
      </c>
      <c r="K70" s="73"/>
      <c r="L70" s="233">
        <v>38</v>
      </c>
      <c r="M70" s="233">
        <v>22</v>
      </c>
      <c r="N70" s="594">
        <f t="shared" si="5"/>
        <v>60</v>
      </c>
      <c r="O70" s="595"/>
      <c r="P70" s="233">
        <v>52</v>
      </c>
      <c r="Q70" s="233">
        <v>22</v>
      </c>
      <c r="R70" s="342">
        <f t="shared" si="6"/>
        <v>74</v>
      </c>
    </row>
    <row r="71" spans="1:18" ht="17.25" customHeight="1">
      <c r="A71" s="232">
        <v>4</v>
      </c>
      <c r="B71" s="287" t="s">
        <v>159</v>
      </c>
      <c r="C71" s="584">
        <v>65</v>
      </c>
      <c r="D71" s="584">
        <v>65</v>
      </c>
      <c r="E71" s="233">
        <f t="shared" si="2"/>
        <v>0</v>
      </c>
      <c r="F71" s="585">
        <f t="shared" si="3"/>
        <v>0</v>
      </c>
      <c r="G71" s="73"/>
      <c r="H71" s="262">
        <v>3</v>
      </c>
      <c r="I71" s="261">
        <v>327</v>
      </c>
      <c r="J71" s="261">
        <f t="shared" si="4"/>
        <v>330</v>
      </c>
      <c r="K71" s="73"/>
      <c r="L71" s="233">
        <v>52</v>
      </c>
      <c r="M71" s="233">
        <v>13</v>
      </c>
      <c r="N71" s="594">
        <f t="shared" si="5"/>
        <v>65</v>
      </c>
      <c r="O71" s="595"/>
      <c r="P71" s="233">
        <v>20</v>
      </c>
      <c r="Q71" s="233">
        <v>14</v>
      </c>
      <c r="R71" s="342">
        <f t="shared" si="6"/>
        <v>34</v>
      </c>
    </row>
    <row r="72" spans="1:18" ht="17.25" customHeight="1">
      <c r="A72" s="232">
        <v>5</v>
      </c>
      <c r="B72" s="287" t="s">
        <v>160</v>
      </c>
      <c r="C72" s="584">
        <v>51</v>
      </c>
      <c r="D72" s="584">
        <v>51</v>
      </c>
      <c r="E72" s="233">
        <f t="shared" si="2"/>
        <v>0</v>
      </c>
      <c r="F72" s="585">
        <f t="shared" si="3"/>
        <v>0</v>
      </c>
      <c r="G72" s="73"/>
      <c r="H72" s="262">
        <v>11</v>
      </c>
      <c r="I72" s="261">
        <v>312</v>
      </c>
      <c r="J72" s="261">
        <f t="shared" si="4"/>
        <v>323</v>
      </c>
      <c r="K72" s="73"/>
      <c r="L72" s="233">
        <v>21</v>
      </c>
      <c r="M72" s="233">
        <v>30</v>
      </c>
      <c r="N72" s="594">
        <f t="shared" si="5"/>
        <v>51</v>
      </c>
      <c r="O72" s="595"/>
      <c r="P72" s="233">
        <v>64</v>
      </c>
      <c r="Q72" s="233">
        <v>30</v>
      </c>
      <c r="R72" s="342">
        <f t="shared" si="6"/>
        <v>94</v>
      </c>
    </row>
    <row r="73" spans="1:18" ht="17.25" customHeight="1">
      <c r="A73" s="232">
        <v>6</v>
      </c>
      <c r="B73" s="287" t="s">
        <v>161</v>
      </c>
      <c r="C73" s="584">
        <v>95</v>
      </c>
      <c r="D73" s="584">
        <v>95</v>
      </c>
      <c r="E73" s="233">
        <f t="shared" si="2"/>
        <v>0</v>
      </c>
      <c r="F73" s="585">
        <f t="shared" si="3"/>
        <v>0</v>
      </c>
      <c r="G73" s="73"/>
      <c r="H73" s="262">
        <v>2</v>
      </c>
      <c r="I73" s="261">
        <v>606</v>
      </c>
      <c r="J73" s="261">
        <f t="shared" si="4"/>
        <v>608</v>
      </c>
      <c r="K73" s="73"/>
      <c r="L73" s="233">
        <v>64</v>
      </c>
      <c r="M73" s="233">
        <v>31</v>
      </c>
      <c r="N73" s="594">
        <f t="shared" si="5"/>
        <v>95</v>
      </c>
      <c r="O73" s="595"/>
      <c r="P73" s="233">
        <v>61</v>
      </c>
      <c r="Q73" s="233">
        <v>30</v>
      </c>
      <c r="R73" s="342">
        <f t="shared" si="6"/>
        <v>91</v>
      </c>
    </row>
    <row r="74" spans="1:18" ht="17.25" customHeight="1">
      <c r="A74" s="232">
        <v>7</v>
      </c>
      <c r="B74" s="287" t="s">
        <v>162</v>
      </c>
      <c r="C74" s="584">
        <v>60</v>
      </c>
      <c r="D74" s="584">
        <v>60</v>
      </c>
      <c r="E74" s="233">
        <f t="shared" si="2"/>
        <v>0</v>
      </c>
      <c r="F74" s="585">
        <f t="shared" si="3"/>
        <v>0</v>
      </c>
      <c r="G74" s="73"/>
      <c r="H74" s="262"/>
      <c r="I74" s="261"/>
      <c r="J74" s="261"/>
      <c r="K74" s="73"/>
      <c r="L74" s="233">
        <v>47</v>
      </c>
      <c r="M74" s="233">
        <v>13</v>
      </c>
      <c r="N74" s="594">
        <f t="shared" si="5"/>
        <v>60</v>
      </c>
      <c r="O74" s="595"/>
      <c r="P74" s="233">
        <v>47</v>
      </c>
      <c r="Q74" s="233">
        <v>13</v>
      </c>
      <c r="R74" s="342">
        <f t="shared" si="6"/>
        <v>60</v>
      </c>
    </row>
    <row r="75" spans="1:18" ht="17.25" customHeight="1">
      <c r="A75" s="232">
        <v>8</v>
      </c>
      <c r="B75" s="287" t="s">
        <v>163</v>
      </c>
      <c r="C75" s="584">
        <v>82</v>
      </c>
      <c r="D75" s="584">
        <v>82</v>
      </c>
      <c r="E75" s="233">
        <f t="shared" si="2"/>
        <v>0</v>
      </c>
      <c r="F75" s="585">
        <f t="shared" si="3"/>
        <v>0</v>
      </c>
      <c r="G75" s="73"/>
      <c r="H75" s="262"/>
      <c r="I75" s="261"/>
      <c r="J75" s="261"/>
      <c r="K75" s="73"/>
      <c r="L75" s="233">
        <v>40</v>
      </c>
      <c r="M75" s="233">
        <v>42</v>
      </c>
      <c r="N75" s="594">
        <f t="shared" si="5"/>
        <v>82</v>
      </c>
      <c r="O75" s="595"/>
      <c r="P75" s="233">
        <v>40</v>
      </c>
      <c r="Q75" s="233">
        <v>42</v>
      </c>
      <c r="R75" s="342">
        <f t="shared" si="6"/>
        <v>82</v>
      </c>
    </row>
    <row r="76" spans="1:18" ht="17.25" customHeight="1">
      <c r="A76" s="232">
        <v>9</v>
      </c>
      <c r="B76" s="287" t="s">
        <v>164</v>
      </c>
      <c r="C76" s="584">
        <v>90</v>
      </c>
      <c r="D76" s="584">
        <v>90</v>
      </c>
      <c r="E76" s="233">
        <f t="shared" si="2"/>
        <v>0</v>
      </c>
      <c r="F76" s="585">
        <f t="shared" si="3"/>
        <v>0</v>
      </c>
      <c r="G76" s="73"/>
      <c r="H76" s="262"/>
      <c r="I76" s="261"/>
      <c r="J76" s="261"/>
      <c r="K76" s="73"/>
      <c r="L76" s="233">
        <v>62</v>
      </c>
      <c r="M76" s="233">
        <v>28</v>
      </c>
      <c r="N76" s="594">
        <f t="shared" si="5"/>
        <v>90</v>
      </c>
      <c r="O76" s="595"/>
      <c r="P76" s="233">
        <v>62</v>
      </c>
      <c r="Q76" s="233">
        <v>28</v>
      </c>
      <c r="R76" s="342">
        <f t="shared" si="6"/>
        <v>90</v>
      </c>
    </row>
    <row r="77" spans="1:18" ht="17.25" customHeight="1">
      <c r="A77" s="232">
        <v>10</v>
      </c>
      <c r="B77" s="287" t="s">
        <v>165</v>
      </c>
      <c r="C77" s="584">
        <v>68</v>
      </c>
      <c r="D77" s="584">
        <v>68</v>
      </c>
      <c r="E77" s="233">
        <f t="shared" si="2"/>
        <v>0</v>
      </c>
      <c r="F77" s="585">
        <f t="shared" si="3"/>
        <v>0</v>
      </c>
      <c r="G77" s="73"/>
      <c r="H77" s="262"/>
      <c r="I77" s="261"/>
      <c r="J77" s="261"/>
      <c r="K77" s="73"/>
      <c r="L77" s="233">
        <v>50</v>
      </c>
      <c r="M77" s="233">
        <v>18</v>
      </c>
      <c r="N77" s="594">
        <f t="shared" si="5"/>
        <v>68</v>
      </c>
      <c r="O77" s="595"/>
      <c r="P77" s="233">
        <v>50</v>
      </c>
      <c r="Q77" s="233">
        <v>18</v>
      </c>
      <c r="R77" s="342">
        <f t="shared" si="6"/>
        <v>68</v>
      </c>
    </row>
    <row r="78" spans="1:18" ht="17.25" customHeight="1">
      <c r="A78" s="232">
        <v>11</v>
      </c>
      <c r="B78" s="287" t="s">
        <v>166</v>
      </c>
      <c r="C78" s="584">
        <v>114</v>
      </c>
      <c r="D78" s="584">
        <v>114</v>
      </c>
      <c r="E78" s="233">
        <f t="shared" si="2"/>
        <v>0</v>
      </c>
      <c r="F78" s="585">
        <f t="shared" si="3"/>
        <v>0</v>
      </c>
      <c r="G78" s="73"/>
      <c r="H78" s="262">
        <v>0</v>
      </c>
      <c r="I78" s="261">
        <v>236</v>
      </c>
      <c r="J78" s="261">
        <f t="shared" si="4"/>
        <v>236</v>
      </c>
      <c r="K78" s="73"/>
      <c r="L78" s="233">
        <v>96</v>
      </c>
      <c r="M78" s="233">
        <v>18</v>
      </c>
      <c r="N78" s="594">
        <f t="shared" si="5"/>
        <v>114</v>
      </c>
      <c r="O78" s="595"/>
      <c r="P78" s="233">
        <v>96</v>
      </c>
      <c r="Q78" s="233">
        <v>18</v>
      </c>
      <c r="R78" s="342">
        <f t="shared" si="6"/>
        <v>114</v>
      </c>
    </row>
    <row r="79" spans="1:18" ht="18" customHeight="1" thickBot="1">
      <c r="A79" s="566"/>
      <c r="B79" s="596" t="s">
        <v>20</v>
      </c>
      <c r="C79" s="588">
        <v>930</v>
      </c>
      <c r="D79" s="588">
        <v>930</v>
      </c>
      <c r="E79" s="588">
        <f>C79-D79</f>
        <v>0</v>
      </c>
      <c r="F79" s="597">
        <f>E79/C79</f>
        <v>0</v>
      </c>
      <c r="G79" s="73"/>
      <c r="H79" s="73">
        <f>SUM(H68:H78)</f>
        <v>34</v>
      </c>
      <c r="I79" s="73">
        <f>SUM(I68:I78)</f>
        <v>2965</v>
      </c>
      <c r="J79" s="73">
        <f>SUM(J68:J78)</f>
        <v>2999</v>
      </c>
      <c r="K79" s="73"/>
      <c r="L79" s="391">
        <v>666</v>
      </c>
      <c r="M79" s="391">
        <v>264</v>
      </c>
      <c r="N79" s="391">
        <f>SUM(N68:N78)</f>
        <v>930</v>
      </c>
      <c r="P79" s="35">
        <f>SUM(P68:P78)</f>
        <v>668</v>
      </c>
      <c r="Q79" s="35">
        <f>SUM(Q68:Q78)</f>
        <v>263</v>
      </c>
      <c r="R79" s="35">
        <f t="shared" si="6"/>
        <v>931</v>
      </c>
    </row>
    <row r="80" spans="1:19" ht="15">
      <c r="A80" s="188"/>
      <c r="B80" s="598"/>
      <c r="C80" s="599"/>
      <c r="D80" s="60"/>
      <c r="E80" s="600"/>
      <c r="F80" s="601"/>
      <c r="G80" s="73"/>
      <c r="H80" s="73"/>
      <c r="I80" s="73"/>
      <c r="J80" s="73"/>
      <c r="K80" s="73"/>
      <c r="L80" s="73"/>
      <c r="M80" s="73"/>
      <c r="N80" s="55"/>
      <c r="S80" s="63"/>
    </row>
    <row r="81" spans="1:15" ht="12.75" customHeight="1">
      <c r="A81" s="188"/>
      <c r="B81" s="60"/>
      <c r="C81" s="60"/>
      <c r="D81" s="60"/>
      <c r="E81" s="199"/>
      <c r="F81" s="39"/>
      <c r="G81" s="73"/>
      <c r="H81" s="73"/>
      <c r="I81" s="73"/>
      <c r="J81" s="73"/>
      <c r="K81" s="73"/>
      <c r="L81" s="73"/>
      <c r="M81" s="73"/>
      <c r="N81" s="55"/>
      <c r="O81" s="55"/>
    </row>
    <row r="82" spans="1:15" ht="12" customHeight="1">
      <c r="A82" s="188"/>
      <c r="B82" s="60"/>
      <c r="C82" s="60"/>
      <c r="D82" s="60"/>
      <c r="E82" s="199"/>
      <c r="F82" s="39"/>
      <c r="G82" s="73"/>
      <c r="H82" s="73"/>
      <c r="I82" s="73"/>
      <c r="J82" s="73"/>
      <c r="K82" s="73"/>
      <c r="L82" s="73"/>
      <c r="M82" s="73"/>
      <c r="N82" s="55"/>
      <c r="O82" s="55"/>
    </row>
    <row r="83" spans="1:15" ht="12" customHeight="1">
      <c r="A83" s="715" t="s">
        <v>151</v>
      </c>
      <c r="B83" s="715"/>
      <c r="C83" s="715"/>
      <c r="D83" s="715"/>
      <c r="E83" s="715"/>
      <c r="F83" s="715"/>
      <c r="G83" s="715"/>
      <c r="H83" s="73"/>
      <c r="I83" s="73"/>
      <c r="J83" s="73"/>
      <c r="K83" s="73"/>
      <c r="L83" s="73"/>
      <c r="M83" s="73"/>
      <c r="N83" s="55"/>
      <c r="O83" s="55"/>
    </row>
    <row r="84" spans="1:15" ht="23.25" customHeight="1" thickBot="1">
      <c r="A84" s="715" t="s">
        <v>217</v>
      </c>
      <c r="B84" s="715"/>
      <c r="C84" s="715"/>
      <c r="D84" s="715"/>
      <c r="E84" s="715"/>
      <c r="F84" s="715"/>
      <c r="G84" s="715"/>
      <c r="H84" s="51"/>
      <c r="I84" s="51"/>
      <c r="J84" s="51"/>
      <c r="K84" s="51"/>
      <c r="L84" s="51"/>
      <c r="M84" s="51"/>
      <c r="N84" s="51"/>
      <c r="O84" s="51"/>
    </row>
    <row r="85" spans="1:15" ht="90" customHeight="1">
      <c r="A85" s="590" t="s">
        <v>3</v>
      </c>
      <c r="B85" s="591" t="s">
        <v>64</v>
      </c>
      <c r="C85" s="591" t="s">
        <v>263</v>
      </c>
      <c r="D85" s="591" t="s">
        <v>93</v>
      </c>
      <c r="E85" s="592" t="s">
        <v>6</v>
      </c>
      <c r="F85" s="593" t="s">
        <v>7</v>
      </c>
      <c r="G85" s="73"/>
      <c r="H85" s="73"/>
      <c r="I85" s="73"/>
      <c r="J85" s="73"/>
      <c r="K85" s="73"/>
      <c r="L85" s="73"/>
      <c r="M85" s="73"/>
      <c r="N85" s="55"/>
      <c r="O85" s="55"/>
    </row>
    <row r="86" spans="1:15" ht="15">
      <c r="A86" s="232">
        <v>1</v>
      </c>
      <c r="B86" s="287" t="s">
        <v>156</v>
      </c>
      <c r="C86" s="233">
        <v>33852</v>
      </c>
      <c r="D86" s="602">
        <v>32484</v>
      </c>
      <c r="E86" s="603">
        <f>C86-D86</f>
        <v>1368</v>
      </c>
      <c r="F86" s="288">
        <f>E86/C86</f>
        <v>0.040411201701524284</v>
      </c>
      <c r="G86" s="73"/>
      <c r="H86" s="73"/>
      <c r="I86" s="73"/>
      <c r="J86" s="73"/>
      <c r="K86" s="73"/>
      <c r="L86" s="73"/>
      <c r="M86" s="73"/>
      <c r="N86" s="55"/>
      <c r="O86" s="55"/>
    </row>
    <row r="87" spans="1:15" ht="15">
      <c r="A87" s="232">
        <v>2</v>
      </c>
      <c r="B87" s="287" t="s">
        <v>157</v>
      </c>
      <c r="C87" s="233">
        <v>4606</v>
      </c>
      <c r="D87" s="602">
        <v>4743</v>
      </c>
      <c r="E87" s="603">
        <f aca="true" t="shared" si="7" ref="E87:E96">C87-D87</f>
        <v>-137</v>
      </c>
      <c r="F87" s="288">
        <f aca="true" t="shared" si="8" ref="F87:F97">E87/C87</f>
        <v>-0.029743812418584457</v>
      </c>
      <c r="G87" s="73"/>
      <c r="H87" s="73"/>
      <c r="I87" s="73"/>
      <c r="J87" s="73"/>
      <c r="K87" s="73"/>
      <c r="L87" s="73"/>
      <c r="M87" s="73"/>
      <c r="N87" s="55"/>
      <c r="O87" s="55"/>
    </row>
    <row r="88" spans="1:15" ht="15">
      <c r="A88" s="232">
        <v>3</v>
      </c>
      <c r="B88" s="287" t="s">
        <v>158</v>
      </c>
      <c r="C88" s="233">
        <v>7602</v>
      </c>
      <c r="D88" s="602">
        <v>7585</v>
      </c>
      <c r="E88" s="603">
        <f t="shared" si="7"/>
        <v>17</v>
      </c>
      <c r="F88" s="288">
        <f t="shared" si="8"/>
        <v>0.0022362536174690873</v>
      </c>
      <c r="G88" s="73"/>
      <c r="H88" s="73"/>
      <c r="I88" s="73"/>
      <c r="J88" s="73"/>
      <c r="K88" s="73"/>
      <c r="L88" s="73"/>
      <c r="M88" s="73"/>
      <c r="N88" s="55"/>
      <c r="O88" s="55"/>
    </row>
    <row r="89" spans="1:15" ht="15">
      <c r="A89" s="232">
        <v>4</v>
      </c>
      <c r="B89" s="287" t="s">
        <v>159</v>
      </c>
      <c r="C89" s="233">
        <v>2154</v>
      </c>
      <c r="D89" s="602">
        <v>2417</v>
      </c>
      <c r="E89" s="603">
        <f t="shared" si="7"/>
        <v>-263</v>
      </c>
      <c r="F89" s="288">
        <f t="shared" si="8"/>
        <v>-0.12209842154131847</v>
      </c>
      <c r="G89" s="73"/>
      <c r="H89" s="73"/>
      <c r="I89" s="73"/>
      <c r="J89" s="73"/>
      <c r="K89" s="73"/>
      <c r="L89" s="73"/>
      <c r="M89" s="73"/>
      <c r="N89" s="55"/>
      <c r="O89" s="55"/>
    </row>
    <row r="90" spans="1:15" ht="15">
      <c r="A90" s="232">
        <v>5</v>
      </c>
      <c r="B90" s="287" t="s">
        <v>160</v>
      </c>
      <c r="C90" s="233">
        <v>7935</v>
      </c>
      <c r="D90" s="602">
        <v>7901</v>
      </c>
      <c r="E90" s="603">
        <f t="shared" si="7"/>
        <v>34</v>
      </c>
      <c r="F90" s="288">
        <f t="shared" si="8"/>
        <v>0.00428481411468179</v>
      </c>
      <c r="G90" s="73"/>
      <c r="H90" s="73"/>
      <c r="I90" s="73"/>
      <c r="J90" s="73"/>
      <c r="K90" s="73"/>
      <c r="L90" s="73"/>
      <c r="M90" s="73"/>
      <c r="N90" s="55"/>
      <c r="O90" s="55"/>
    </row>
    <row r="91" spans="1:15" ht="15">
      <c r="A91" s="232">
        <v>6</v>
      </c>
      <c r="B91" s="287" t="s">
        <v>161</v>
      </c>
      <c r="C91" s="233">
        <v>20243</v>
      </c>
      <c r="D91" s="602">
        <v>19574</v>
      </c>
      <c r="E91" s="603">
        <f t="shared" si="7"/>
        <v>669</v>
      </c>
      <c r="F91" s="288">
        <f t="shared" si="8"/>
        <v>0.03304846119646297</v>
      </c>
      <c r="G91" s="73"/>
      <c r="H91" s="73"/>
      <c r="I91" s="73"/>
      <c r="J91" s="73"/>
      <c r="K91" s="73"/>
      <c r="L91" s="73"/>
      <c r="M91" s="73"/>
      <c r="N91" s="55"/>
      <c r="O91" s="55"/>
    </row>
    <row r="92" spans="1:15" ht="15">
      <c r="A92" s="232">
        <v>7</v>
      </c>
      <c r="B92" s="287" t="s">
        <v>162</v>
      </c>
      <c r="C92" s="233">
        <v>8273</v>
      </c>
      <c r="D92" s="602">
        <v>8221</v>
      </c>
      <c r="E92" s="603">
        <f t="shared" si="7"/>
        <v>52</v>
      </c>
      <c r="F92" s="288">
        <f t="shared" si="8"/>
        <v>0.006285507071195455</v>
      </c>
      <c r="G92" s="73"/>
      <c r="H92" s="73"/>
      <c r="I92" s="73"/>
      <c r="J92" s="73"/>
      <c r="K92" s="73"/>
      <c r="L92" s="73"/>
      <c r="M92" s="73"/>
      <c r="N92" s="55"/>
      <c r="O92" s="55"/>
    </row>
    <row r="93" spans="1:15" ht="15">
      <c r="A93" s="232">
        <v>8</v>
      </c>
      <c r="B93" s="287" t="s">
        <v>163</v>
      </c>
      <c r="C93" s="233">
        <v>8130</v>
      </c>
      <c r="D93" s="602">
        <v>8087</v>
      </c>
      <c r="E93" s="603">
        <f t="shared" si="7"/>
        <v>43</v>
      </c>
      <c r="F93" s="288">
        <f t="shared" si="8"/>
        <v>0.005289052890528906</v>
      </c>
      <c r="G93" s="73"/>
      <c r="H93" s="73"/>
      <c r="I93" s="73"/>
      <c r="J93" s="73"/>
      <c r="K93" s="73"/>
      <c r="L93" s="73"/>
      <c r="M93" s="73"/>
      <c r="N93" s="55"/>
      <c r="O93" s="55"/>
    </row>
    <row r="94" spans="1:15" ht="15">
      <c r="A94" s="232">
        <v>9</v>
      </c>
      <c r="B94" s="287" t="s">
        <v>164</v>
      </c>
      <c r="C94" s="233">
        <v>14300</v>
      </c>
      <c r="D94" s="602">
        <v>13937</v>
      </c>
      <c r="E94" s="603">
        <f t="shared" si="7"/>
        <v>363</v>
      </c>
      <c r="F94" s="288">
        <f t="shared" si="8"/>
        <v>0.025384615384615384</v>
      </c>
      <c r="G94" s="73"/>
      <c r="H94" s="73"/>
      <c r="I94" s="73"/>
      <c r="J94" s="73"/>
      <c r="K94" s="73"/>
      <c r="L94" s="73"/>
      <c r="M94" s="73"/>
      <c r="N94" s="55"/>
      <c r="O94" s="55"/>
    </row>
    <row r="95" spans="1:15" ht="15">
      <c r="A95" s="232">
        <v>10</v>
      </c>
      <c r="B95" s="287" t="s">
        <v>165</v>
      </c>
      <c r="C95" s="233">
        <v>4794</v>
      </c>
      <c r="D95" s="602">
        <v>4922</v>
      </c>
      <c r="E95" s="603">
        <f t="shared" si="7"/>
        <v>-128</v>
      </c>
      <c r="F95" s="288">
        <f t="shared" si="8"/>
        <v>-0.026700041718815185</v>
      </c>
      <c r="G95" s="73"/>
      <c r="H95" s="73"/>
      <c r="I95" s="73"/>
      <c r="J95" s="73"/>
      <c r="K95" s="73"/>
      <c r="L95" s="73"/>
      <c r="M95" s="73"/>
      <c r="N95" s="55"/>
      <c r="O95" s="55"/>
    </row>
    <row r="96" spans="1:15" ht="15">
      <c r="A96" s="232">
        <v>11</v>
      </c>
      <c r="B96" s="287" t="s">
        <v>166</v>
      </c>
      <c r="C96" s="233">
        <v>8833</v>
      </c>
      <c r="D96" s="602">
        <v>7162</v>
      </c>
      <c r="E96" s="603">
        <f t="shared" si="7"/>
        <v>1671</v>
      </c>
      <c r="F96" s="288">
        <f t="shared" si="8"/>
        <v>0.18917695007358767</v>
      </c>
      <c r="G96" s="73"/>
      <c r="H96" s="73"/>
      <c r="I96" s="73"/>
      <c r="J96" s="73"/>
      <c r="K96" s="73"/>
      <c r="L96" s="73"/>
      <c r="M96" s="73"/>
      <c r="N96" s="55"/>
      <c r="O96" s="55"/>
    </row>
    <row r="97" spans="1:15" ht="16.5" thickBot="1">
      <c r="A97" s="566"/>
      <c r="B97" s="596" t="s">
        <v>11</v>
      </c>
      <c r="C97" s="604">
        <v>120722</v>
      </c>
      <c r="D97" s="604">
        <v>117033</v>
      </c>
      <c r="E97" s="605">
        <f>C97-D97</f>
        <v>3689</v>
      </c>
      <c r="F97" s="606">
        <f t="shared" si="8"/>
        <v>0.030557810506784182</v>
      </c>
      <c r="G97" s="74"/>
      <c r="H97" s="74"/>
      <c r="I97" s="74"/>
      <c r="J97" s="74"/>
      <c r="K97" s="74"/>
      <c r="L97" s="74"/>
      <c r="M97" s="74"/>
      <c r="N97" s="62"/>
      <c r="O97" s="62"/>
    </row>
    <row r="98" spans="1:15" ht="15.75">
      <c r="A98" s="188"/>
      <c r="B98" s="598"/>
      <c r="C98" s="607"/>
      <c r="D98" s="607"/>
      <c r="E98" s="608"/>
      <c r="F98" s="609"/>
      <c r="G98" s="74"/>
      <c r="H98" s="74"/>
      <c r="I98" s="74"/>
      <c r="J98" s="74"/>
      <c r="K98" s="74"/>
      <c r="L98" s="74"/>
      <c r="M98" s="74"/>
      <c r="N98" s="62"/>
      <c r="O98" s="62"/>
    </row>
    <row r="99" spans="1:15" ht="23.25" customHeight="1" thickBot="1">
      <c r="A99" s="715" t="s">
        <v>218</v>
      </c>
      <c r="B99" s="715"/>
      <c r="C99" s="715"/>
      <c r="D99" s="715"/>
      <c r="E99" s="715"/>
      <c r="F99" s="715"/>
      <c r="G99" s="715"/>
      <c r="H99" s="51"/>
      <c r="I99" s="51"/>
      <c r="J99" s="51"/>
      <c r="K99" s="51"/>
      <c r="L99" s="51"/>
      <c r="M99" s="51"/>
      <c r="N99" s="51"/>
      <c r="O99" s="51"/>
    </row>
    <row r="100" spans="1:18" ht="78" customHeight="1">
      <c r="A100" s="610" t="s">
        <v>3</v>
      </c>
      <c r="B100" s="611" t="s">
        <v>64</v>
      </c>
      <c r="C100" s="611" t="str">
        <f>C85</f>
        <v>No. of children as per PAB Approval for  2017-18</v>
      </c>
      <c r="D100" s="611" t="s">
        <v>93</v>
      </c>
      <c r="E100" s="612" t="s">
        <v>6</v>
      </c>
      <c r="F100" s="613" t="s">
        <v>7</v>
      </c>
      <c r="G100" s="73"/>
      <c r="H100" s="73"/>
      <c r="I100" s="73"/>
      <c r="J100" s="73"/>
      <c r="K100" s="73"/>
      <c r="L100" s="392" t="s">
        <v>189</v>
      </c>
      <c r="M100" s="392" t="s">
        <v>147</v>
      </c>
      <c r="N100" s="395" t="s">
        <v>20</v>
      </c>
      <c r="O100" s="55"/>
      <c r="P100" s="392" t="s">
        <v>189</v>
      </c>
      <c r="Q100" s="392" t="s">
        <v>147</v>
      </c>
      <c r="R100" s="395" t="s">
        <v>20</v>
      </c>
    </row>
    <row r="101" spans="1:18" ht="15">
      <c r="A101" s="232">
        <v>1</v>
      </c>
      <c r="B101" s="287" t="s">
        <v>156</v>
      </c>
      <c r="C101" s="584">
        <v>9122</v>
      </c>
      <c r="D101" s="393">
        <v>8821</v>
      </c>
      <c r="E101" s="614">
        <f>C101-D101</f>
        <v>301</v>
      </c>
      <c r="F101" s="615">
        <f>E101/C101</f>
        <v>0.03299714974786231</v>
      </c>
      <c r="G101" s="73"/>
      <c r="H101" s="73"/>
      <c r="I101" s="73"/>
      <c r="J101" s="73"/>
      <c r="K101" s="73"/>
      <c r="L101" s="233">
        <v>9122</v>
      </c>
      <c r="M101" s="233">
        <v>957</v>
      </c>
      <c r="N101" s="233">
        <f>SUM(L101:M101)</f>
        <v>10079</v>
      </c>
      <c r="O101" s="73"/>
      <c r="P101" s="233">
        <v>9122</v>
      </c>
      <c r="Q101" s="233">
        <v>957</v>
      </c>
      <c r="R101" s="233">
        <f>SUM(P101:Q101)</f>
        <v>10079</v>
      </c>
    </row>
    <row r="102" spans="1:18" ht="15">
      <c r="A102" s="232">
        <v>2</v>
      </c>
      <c r="B102" s="287" t="s">
        <v>157</v>
      </c>
      <c r="C102" s="584">
        <v>312</v>
      </c>
      <c r="D102" s="393">
        <v>594</v>
      </c>
      <c r="E102" s="614">
        <f aca="true" t="shared" si="9" ref="E102:E111">C102-D102</f>
        <v>-282</v>
      </c>
      <c r="F102" s="615">
        <f aca="true" t="shared" si="10" ref="F102:F111">E102/C102</f>
        <v>-0.9038461538461539</v>
      </c>
      <c r="G102" s="73"/>
      <c r="H102" s="73"/>
      <c r="I102" s="73"/>
      <c r="J102" s="73"/>
      <c r="K102" s="73"/>
      <c r="L102" s="233">
        <v>312</v>
      </c>
      <c r="M102" s="233"/>
      <c r="N102" s="233">
        <f aca="true" t="shared" si="11" ref="N102:N112">SUM(L102:M102)</f>
        <v>312</v>
      </c>
      <c r="O102" s="73"/>
      <c r="P102" s="233">
        <v>312</v>
      </c>
      <c r="Q102" s="233"/>
      <c r="R102" s="233">
        <f aca="true" t="shared" si="12" ref="R102:R112">SUM(P102:Q102)</f>
        <v>312</v>
      </c>
    </row>
    <row r="103" spans="1:18" ht="15">
      <c r="A103" s="232">
        <v>3</v>
      </c>
      <c r="B103" s="287" t="s">
        <v>158</v>
      </c>
      <c r="C103" s="584">
        <v>3576</v>
      </c>
      <c r="D103" s="393">
        <v>3642</v>
      </c>
      <c r="E103" s="614">
        <f t="shared" si="9"/>
        <v>-66</v>
      </c>
      <c r="F103" s="615">
        <f t="shared" si="10"/>
        <v>-0.018456375838926176</v>
      </c>
      <c r="G103" s="73"/>
      <c r="H103" s="73"/>
      <c r="I103" s="73"/>
      <c r="J103" s="73"/>
      <c r="K103" s="73"/>
      <c r="L103" s="233">
        <v>3576</v>
      </c>
      <c r="M103" s="233"/>
      <c r="N103" s="233">
        <f t="shared" si="11"/>
        <v>3576</v>
      </c>
      <c r="O103" s="73"/>
      <c r="P103" s="233">
        <v>3576</v>
      </c>
      <c r="Q103" s="233"/>
      <c r="R103" s="233">
        <f t="shared" si="12"/>
        <v>3576</v>
      </c>
    </row>
    <row r="104" spans="1:18" ht="15">
      <c r="A104" s="232">
        <v>4</v>
      </c>
      <c r="B104" s="287" t="s">
        <v>159</v>
      </c>
      <c r="C104" s="584">
        <v>704</v>
      </c>
      <c r="D104" s="393">
        <v>959</v>
      </c>
      <c r="E104" s="614">
        <f t="shared" si="9"/>
        <v>-255</v>
      </c>
      <c r="F104" s="615">
        <f t="shared" si="10"/>
        <v>-0.3622159090909091</v>
      </c>
      <c r="G104" s="73"/>
      <c r="H104" s="73"/>
      <c r="I104" s="73"/>
      <c r="J104" s="73"/>
      <c r="K104" s="73"/>
      <c r="L104" s="233">
        <v>704</v>
      </c>
      <c r="M104" s="233"/>
      <c r="N104" s="233">
        <f t="shared" si="11"/>
        <v>704</v>
      </c>
      <c r="O104" s="73"/>
      <c r="P104" s="233">
        <v>704</v>
      </c>
      <c r="Q104" s="233"/>
      <c r="R104" s="233">
        <f t="shared" si="12"/>
        <v>704</v>
      </c>
    </row>
    <row r="105" spans="1:18" ht="15.75">
      <c r="A105" s="232">
        <v>5</v>
      </c>
      <c r="B105" s="287" t="s">
        <v>160</v>
      </c>
      <c r="C105" s="584">
        <v>3044</v>
      </c>
      <c r="D105" s="393">
        <v>3145</v>
      </c>
      <c r="E105" s="614">
        <f t="shared" si="9"/>
        <v>-101</v>
      </c>
      <c r="F105" s="615">
        <f t="shared" si="10"/>
        <v>-0.03318002628120893</v>
      </c>
      <c r="G105" s="73"/>
      <c r="H105" s="73"/>
      <c r="I105" s="73"/>
      <c r="J105" s="73"/>
      <c r="K105" s="73"/>
      <c r="L105" s="233">
        <v>3044</v>
      </c>
      <c r="M105" s="233"/>
      <c r="N105" s="233">
        <f t="shared" si="11"/>
        <v>3044</v>
      </c>
      <c r="O105" s="73"/>
      <c r="P105" s="233">
        <v>3044</v>
      </c>
      <c r="Q105" s="233"/>
      <c r="R105" s="233">
        <f t="shared" si="12"/>
        <v>3044</v>
      </c>
    </row>
    <row r="106" spans="1:18" ht="15.75">
      <c r="A106" s="232">
        <v>6</v>
      </c>
      <c r="B106" s="287" t="s">
        <v>161</v>
      </c>
      <c r="C106" s="584">
        <v>5276</v>
      </c>
      <c r="D106" s="393">
        <v>5229</v>
      </c>
      <c r="E106" s="614">
        <f t="shared" si="9"/>
        <v>47</v>
      </c>
      <c r="F106" s="615">
        <f t="shared" si="10"/>
        <v>0.008908263836239575</v>
      </c>
      <c r="G106" s="73"/>
      <c r="H106" s="73" t="s">
        <v>44</v>
      </c>
      <c r="I106" s="73"/>
      <c r="J106" s="73"/>
      <c r="K106" s="73"/>
      <c r="L106" s="233">
        <v>5276</v>
      </c>
      <c r="M106" s="233"/>
      <c r="N106" s="233">
        <f t="shared" si="11"/>
        <v>5276</v>
      </c>
      <c r="O106" s="73"/>
      <c r="P106" s="233">
        <v>5276</v>
      </c>
      <c r="Q106" s="233"/>
      <c r="R106" s="233">
        <f t="shared" si="12"/>
        <v>5276</v>
      </c>
    </row>
    <row r="107" spans="1:18" ht="15.75">
      <c r="A107" s="232">
        <v>7</v>
      </c>
      <c r="B107" s="287" t="s">
        <v>162</v>
      </c>
      <c r="C107" s="584">
        <v>2156</v>
      </c>
      <c r="D107" s="393">
        <v>2316</v>
      </c>
      <c r="E107" s="614">
        <f t="shared" si="9"/>
        <v>-160</v>
      </c>
      <c r="F107" s="615">
        <f t="shared" si="10"/>
        <v>-0.07421150278293136</v>
      </c>
      <c r="G107" s="73"/>
      <c r="H107" s="73"/>
      <c r="I107" s="73"/>
      <c r="J107" s="73"/>
      <c r="K107" s="73"/>
      <c r="L107" s="233">
        <v>2156</v>
      </c>
      <c r="M107" s="233"/>
      <c r="N107" s="233">
        <f t="shared" si="11"/>
        <v>2156</v>
      </c>
      <c r="O107" s="73"/>
      <c r="P107" s="233">
        <v>2156</v>
      </c>
      <c r="Q107" s="233"/>
      <c r="R107" s="233">
        <f t="shared" si="12"/>
        <v>2156</v>
      </c>
    </row>
    <row r="108" spans="1:18" ht="15.75">
      <c r="A108" s="232">
        <v>8</v>
      </c>
      <c r="B108" s="287" t="s">
        <v>163</v>
      </c>
      <c r="C108" s="584">
        <v>4261</v>
      </c>
      <c r="D108" s="393">
        <v>4284</v>
      </c>
      <c r="E108" s="614">
        <f t="shared" si="9"/>
        <v>-23</v>
      </c>
      <c r="F108" s="615">
        <f t="shared" si="10"/>
        <v>-0.005397793945083313</v>
      </c>
      <c r="G108" s="73"/>
      <c r="H108" s="73"/>
      <c r="I108" s="73"/>
      <c r="J108" s="73"/>
      <c r="K108" s="73"/>
      <c r="L108" s="233">
        <v>4261</v>
      </c>
      <c r="M108" s="233"/>
      <c r="N108" s="233">
        <f t="shared" si="11"/>
        <v>4261</v>
      </c>
      <c r="O108" s="73"/>
      <c r="P108" s="233">
        <v>4261</v>
      </c>
      <c r="Q108" s="233"/>
      <c r="R108" s="233">
        <f t="shared" si="12"/>
        <v>4261</v>
      </c>
    </row>
    <row r="109" spans="1:18" ht="15.75">
      <c r="A109" s="232">
        <v>9</v>
      </c>
      <c r="B109" s="287" t="s">
        <v>164</v>
      </c>
      <c r="C109" s="584">
        <v>4462</v>
      </c>
      <c r="D109" s="393">
        <v>4469</v>
      </c>
      <c r="E109" s="614">
        <f t="shared" si="9"/>
        <v>-7</v>
      </c>
      <c r="F109" s="615">
        <f t="shared" si="10"/>
        <v>-0.0015688032272523531</v>
      </c>
      <c r="G109" s="73"/>
      <c r="H109" s="73"/>
      <c r="I109" s="73"/>
      <c r="J109" s="73"/>
      <c r="K109" s="73"/>
      <c r="L109" s="233">
        <v>4462</v>
      </c>
      <c r="M109" s="233"/>
      <c r="N109" s="233">
        <f t="shared" si="11"/>
        <v>4462</v>
      </c>
      <c r="O109" s="73"/>
      <c r="P109" s="233">
        <v>4462</v>
      </c>
      <c r="Q109" s="233"/>
      <c r="R109" s="233">
        <f t="shared" si="12"/>
        <v>4462</v>
      </c>
    </row>
    <row r="110" spans="1:18" ht="15.75">
      <c r="A110" s="232">
        <v>10</v>
      </c>
      <c r="B110" s="287" t="s">
        <v>165</v>
      </c>
      <c r="C110" s="584">
        <v>1550</v>
      </c>
      <c r="D110" s="393">
        <v>1751</v>
      </c>
      <c r="E110" s="614">
        <f t="shared" si="9"/>
        <v>-201</v>
      </c>
      <c r="F110" s="615">
        <f t="shared" si="10"/>
        <v>-0.1296774193548387</v>
      </c>
      <c r="G110" s="73"/>
      <c r="H110" s="73"/>
      <c r="I110" s="73"/>
      <c r="J110" s="73"/>
      <c r="K110" s="73"/>
      <c r="L110" s="233">
        <v>1550</v>
      </c>
      <c r="M110" s="233"/>
      <c r="N110" s="233">
        <f t="shared" si="11"/>
        <v>1550</v>
      </c>
      <c r="O110" s="73"/>
      <c r="P110" s="233">
        <v>1550</v>
      </c>
      <c r="Q110" s="233"/>
      <c r="R110" s="233">
        <f t="shared" si="12"/>
        <v>1550</v>
      </c>
    </row>
    <row r="111" spans="1:18" ht="15.75">
      <c r="A111" s="232">
        <v>11</v>
      </c>
      <c r="B111" s="287" t="s">
        <v>166</v>
      </c>
      <c r="C111" s="584">
        <v>2082</v>
      </c>
      <c r="D111" s="393">
        <v>2247</v>
      </c>
      <c r="E111" s="614">
        <f t="shared" si="9"/>
        <v>-165</v>
      </c>
      <c r="F111" s="615">
        <f t="shared" si="10"/>
        <v>-0.0792507204610951</v>
      </c>
      <c r="G111" s="73"/>
      <c r="H111" s="73"/>
      <c r="I111" s="73"/>
      <c r="J111" s="73"/>
      <c r="K111" s="73"/>
      <c r="L111" s="233">
        <v>2082</v>
      </c>
      <c r="M111" s="233"/>
      <c r="N111" s="233">
        <f t="shared" si="11"/>
        <v>2082</v>
      </c>
      <c r="O111" s="73"/>
      <c r="P111" s="233">
        <v>2082</v>
      </c>
      <c r="Q111" s="233"/>
      <c r="R111" s="233">
        <f t="shared" si="12"/>
        <v>2082</v>
      </c>
    </row>
    <row r="112" spans="1:18" ht="17.25" thickBot="1">
      <c r="A112" s="566"/>
      <c r="B112" s="596" t="s">
        <v>11</v>
      </c>
      <c r="C112" s="604">
        <v>36545</v>
      </c>
      <c r="D112" s="604">
        <v>37457</v>
      </c>
      <c r="E112" s="616">
        <f>SUM(E101:E111)</f>
        <v>-912</v>
      </c>
      <c r="F112" s="617">
        <f>AVERAGE(F101:F111)</f>
        <v>-0.1423544810222088</v>
      </c>
      <c r="G112" s="74"/>
      <c r="H112" s="74"/>
      <c r="I112" s="74"/>
      <c r="J112" s="74"/>
      <c r="K112" s="74"/>
      <c r="L112" s="396">
        <v>36545</v>
      </c>
      <c r="M112" s="396">
        <f>SUM(M101:M111)</f>
        <v>957</v>
      </c>
      <c r="N112" s="618">
        <f t="shared" si="11"/>
        <v>37502</v>
      </c>
      <c r="O112" s="74"/>
      <c r="P112" s="396">
        <v>36545</v>
      </c>
      <c r="Q112" s="396">
        <f>SUM(Q101:Q111)</f>
        <v>957</v>
      </c>
      <c r="R112" s="618">
        <f t="shared" si="12"/>
        <v>37502</v>
      </c>
    </row>
    <row r="113" spans="1:15" ht="27.75" customHeight="1">
      <c r="A113" s="749" t="s">
        <v>173</v>
      </c>
      <c r="B113" s="749"/>
      <c r="C113" s="749"/>
      <c r="D113" s="715"/>
      <c r="E113" s="749"/>
      <c r="F113" s="749"/>
      <c r="G113" s="74"/>
      <c r="H113" s="74"/>
      <c r="I113" s="74"/>
      <c r="J113" s="74"/>
      <c r="K113" s="74"/>
      <c r="L113" s="397"/>
      <c r="M113" s="74"/>
      <c r="O113" s="62"/>
    </row>
    <row r="114" spans="1:15" ht="12.75" customHeight="1">
      <c r="A114" s="217"/>
      <c r="B114" s="17"/>
      <c r="C114" s="17"/>
      <c r="D114" s="14"/>
      <c r="E114" s="182"/>
      <c r="F114" s="19"/>
      <c r="G114" s="72"/>
      <c r="H114" s="72"/>
      <c r="I114" s="72"/>
      <c r="J114" s="72"/>
      <c r="K114" s="72"/>
      <c r="L114" s="72"/>
      <c r="M114" s="72"/>
      <c r="N114" s="9"/>
      <c r="O114" s="9"/>
    </row>
    <row r="115" spans="1:15" ht="12.75" customHeight="1">
      <c r="A115" s="715" t="s">
        <v>152</v>
      </c>
      <c r="B115" s="715"/>
      <c r="C115" s="715"/>
      <c r="D115" s="715"/>
      <c r="E115" s="715"/>
      <c r="F115" s="715"/>
      <c r="G115" s="715"/>
      <c r="H115" s="72"/>
      <c r="I115" s="72"/>
      <c r="J115" s="72"/>
      <c r="K115" s="72"/>
      <c r="L115" s="72"/>
      <c r="M115" s="72"/>
      <c r="N115" s="9"/>
      <c r="O115" s="9"/>
    </row>
    <row r="116" spans="1:15" ht="23.25" customHeight="1" thickBot="1">
      <c r="A116" s="715" t="s">
        <v>226</v>
      </c>
      <c r="B116" s="715"/>
      <c r="C116" s="715"/>
      <c r="D116" s="715"/>
      <c r="E116" s="715"/>
      <c r="F116" s="715"/>
      <c r="G116" s="715"/>
      <c r="H116" s="51"/>
      <c r="I116" s="51"/>
      <c r="J116" s="51"/>
      <c r="K116" s="51"/>
      <c r="L116" s="51"/>
      <c r="M116" s="51"/>
      <c r="N116" s="51"/>
      <c r="O116" s="51"/>
    </row>
    <row r="117" spans="1:15" ht="81" customHeight="1">
      <c r="A117" s="590" t="s">
        <v>3</v>
      </c>
      <c r="B117" s="591" t="s">
        <v>64</v>
      </c>
      <c r="C117" s="591" t="s">
        <v>264</v>
      </c>
      <c r="D117" s="591" t="s">
        <v>93</v>
      </c>
      <c r="E117" s="592" t="s">
        <v>6</v>
      </c>
      <c r="F117" s="593" t="s">
        <v>7</v>
      </c>
      <c r="G117" s="73"/>
      <c r="H117" s="73"/>
      <c r="I117" s="73"/>
      <c r="J117" s="73"/>
      <c r="K117" s="73"/>
      <c r="L117" s="513" t="s">
        <v>289</v>
      </c>
      <c r="M117" s="513" t="s">
        <v>147</v>
      </c>
      <c r="N117" s="514" t="s">
        <v>20</v>
      </c>
      <c r="O117" s="55"/>
    </row>
    <row r="118" spans="1:15" ht="15.75">
      <c r="A118" s="232">
        <v>1</v>
      </c>
      <c r="B118" s="287" t="s">
        <v>156</v>
      </c>
      <c r="C118" s="619">
        <v>34248</v>
      </c>
      <c r="D118" s="620">
        <v>32484</v>
      </c>
      <c r="E118" s="603">
        <f aca="true" t="shared" si="13" ref="E118:E129">C118-D118</f>
        <v>1764</v>
      </c>
      <c r="F118" s="288">
        <f aca="true" t="shared" si="14" ref="F118:F128">E118/C118</f>
        <v>0.05150665732305536</v>
      </c>
      <c r="G118" s="73"/>
      <c r="H118" s="73"/>
      <c r="I118" s="73"/>
      <c r="J118" s="73"/>
      <c r="K118" s="73"/>
      <c r="L118" s="393">
        <v>8821</v>
      </c>
      <c r="M118" s="393">
        <v>1981</v>
      </c>
      <c r="N118" s="393">
        <f>SUM(L118:M118)</f>
        <v>10802</v>
      </c>
      <c r="O118" s="55"/>
    </row>
    <row r="119" spans="1:15" ht="15.75">
      <c r="A119" s="232">
        <v>2</v>
      </c>
      <c r="B119" s="287" t="s">
        <v>157</v>
      </c>
      <c r="C119" s="619">
        <v>5001</v>
      </c>
      <c r="D119" s="620">
        <v>4743</v>
      </c>
      <c r="E119" s="603">
        <f t="shared" si="13"/>
        <v>258</v>
      </c>
      <c r="F119" s="288">
        <f t="shared" si="14"/>
        <v>0.05158968206358728</v>
      </c>
      <c r="G119" s="73"/>
      <c r="H119" s="73"/>
      <c r="I119" s="73"/>
      <c r="J119" s="73"/>
      <c r="K119" s="73"/>
      <c r="L119" s="393">
        <v>594</v>
      </c>
      <c r="M119" s="392"/>
      <c r="N119" s="393">
        <f aca="true" t="shared" si="15" ref="N119:N128">SUM(L119:M119)</f>
        <v>594</v>
      </c>
      <c r="O119" s="55"/>
    </row>
    <row r="120" spans="1:15" ht="15.75">
      <c r="A120" s="232">
        <v>3</v>
      </c>
      <c r="B120" s="287" t="s">
        <v>158</v>
      </c>
      <c r="C120" s="619">
        <v>7997</v>
      </c>
      <c r="D120" s="620">
        <v>7585</v>
      </c>
      <c r="E120" s="603">
        <f t="shared" si="13"/>
        <v>412</v>
      </c>
      <c r="F120" s="288">
        <f t="shared" si="14"/>
        <v>0.05151931974490434</v>
      </c>
      <c r="G120" s="73"/>
      <c r="H120" s="73"/>
      <c r="I120" s="73"/>
      <c r="J120" s="73"/>
      <c r="K120" s="73"/>
      <c r="L120" s="393">
        <v>3642</v>
      </c>
      <c r="M120" s="392"/>
      <c r="N120" s="393">
        <f t="shared" si="15"/>
        <v>3642</v>
      </c>
      <c r="O120" s="55"/>
    </row>
    <row r="121" spans="1:15" ht="15.75">
      <c r="A121" s="232">
        <v>4</v>
      </c>
      <c r="B121" s="287" t="s">
        <v>159</v>
      </c>
      <c r="C121" s="619">
        <v>2549</v>
      </c>
      <c r="D121" s="620">
        <v>2417</v>
      </c>
      <c r="E121" s="603">
        <f t="shared" si="13"/>
        <v>132</v>
      </c>
      <c r="F121" s="288">
        <f t="shared" si="14"/>
        <v>0.05178501373087485</v>
      </c>
      <c r="G121" s="73"/>
      <c r="H121" s="73"/>
      <c r="I121" s="73"/>
      <c r="J121" s="73"/>
      <c r="K121" s="73"/>
      <c r="L121" s="393">
        <v>959</v>
      </c>
      <c r="M121" s="392"/>
      <c r="N121" s="393">
        <f t="shared" si="15"/>
        <v>959</v>
      </c>
      <c r="O121" s="55"/>
    </row>
    <row r="122" spans="1:15" ht="15.75">
      <c r="A122" s="232">
        <v>5</v>
      </c>
      <c r="B122" s="287" t="s">
        <v>160</v>
      </c>
      <c r="C122" s="619">
        <v>8330</v>
      </c>
      <c r="D122" s="620">
        <v>7901</v>
      </c>
      <c r="E122" s="603">
        <f t="shared" si="13"/>
        <v>429</v>
      </c>
      <c r="F122" s="288">
        <f t="shared" si="14"/>
        <v>0.05150060024009604</v>
      </c>
      <c r="G122" s="73"/>
      <c r="H122" s="73"/>
      <c r="I122" s="73"/>
      <c r="J122" s="73"/>
      <c r="K122" s="73"/>
      <c r="L122" s="393">
        <v>3145</v>
      </c>
      <c r="M122" s="392"/>
      <c r="N122" s="393">
        <f t="shared" si="15"/>
        <v>3145</v>
      </c>
      <c r="O122" s="55"/>
    </row>
    <row r="123" spans="1:15" ht="15.75">
      <c r="A123" s="232">
        <v>6</v>
      </c>
      <c r="B123" s="287" t="s">
        <v>161</v>
      </c>
      <c r="C123" s="619">
        <v>20638</v>
      </c>
      <c r="D123" s="620">
        <v>19574</v>
      </c>
      <c r="E123" s="603">
        <f t="shared" si="13"/>
        <v>1064</v>
      </c>
      <c r="F123" s="288">
        <f t="shared" si="14"/>
        <v>0.05155538327357302</v>
      </c>
      <c r="G123" s="73"/>
      <c r="H123" s="73"/>
      <c r="I123" s="73"/>
      <c r="J123" s="73"/>
      <c r="K123" s="73"/>
      <c r="L123" s="393">
        <v>5229</v>
      </c>
      <c r="M123" s="392"/>
      <c r="N123" s="393">
        <f t="shared" si="15"/>
        <v>5229</v>
      </c>
      <c r="O123" s="55"/>
    </row>
    <row r="124" spans="1:15" ht="15.75">
      <c r="A124" s="232">
        <v>7</v>
      </c>
      <c r="B124" s="287" t="s">
        <v>162</v>
      </c>
      <c r="C124" s="619">
        <v>8668</v>
      </c>
      <c r="D124" s="620">
        <v>8221</v>
      </c>
      <c r="E124" s="603">
        <f t="shared" si="13"/>
        <v>447</v>
      </c>
      <c r="F124" s="288">
        <f t="shared" si="14"/>
        <v>0.05156898938624827</v>
      </c>
      <c r="G124" s="73"/>
      <c r="H124" s="73"/>
      <c r="I124" s="73"/>
      <c r="J124" s="73"/>
      <c r="K124" s="73"/>
      <c r="L124" s="393">
        <v>2316</v>
      </c>
      <c r="M124" s="392"/>
      <c r="N124" s="393">
        <f t="shared" si="15"/>
        <v>2316</v>
      </c>
      <c r="O124" s="55"/>
    </row>
    <row r="125" spans="1:15" ht="15.75">
      <c r="A125" s="232">
        <v>8</v>
      </c>
      <c r="B125" s="287" t="s">
        <v>163</v>
      </c>
      <c r="C125" s="619">
        <v>8525</v>
      </c>
      <c r="D125" s="620">
        <v>8087</v>
      </c>
      <c r="E125" s="603">
        <f t="shared" si="13"/>
        <v>438</v>
      </c>
      <c r="F125" s="288">
        <f t="shared" si="14"/>
        <v>0.0513782991202346</v>
      </c>
      <c r="G125" s="73"/>
      <c r="H125" s="73"/>
      <c r="I125" s="73"/>
      <c r="J125" s="73"/>
      <c r="K125" s="73"/>
      <c r="L125" s="393">
        <v>4284</v>
      </c>
      <c r="M125" s="392"/>
      <c r="N125" s="393">
        <f t="shared" si="15"/>
        <v>4284</v>
      </c>
      <c r="O125" s="55"/>
    </row>
    <row r="126" spans="1:15" ht="15.75">
      <c r="A126" s="232">
        <v>9</v>
      </c>
      <c r="B126" s="287" t="s">
        <v>164</v>
      </c>
      <c r="C126" s="619">
        <v>14695</v>
      </c>
      <c r="D126" s="620">
        <v>13937</v>
      </c>
      <c r="E126" s="603">
        <f t="shared" si="13"/>
        <v>758</v>
      </c>
      <c r="F126" s="288">
        <f t="shared" si="14"/>
        <v>0.05158217080639673</v>
      </c>
      <c r="G126" s="73"/>
      <c r="H126" s="73"/>
      <c r="I126" s="73"/>
      <c r="J126" s="73"/>
      <c r="K126" s="73"/>
      <c r="L126" s="393">
        <v>4469</v>
      </c>
      <c r="M126" s="392"/>
      <c r="N126" s="393">
        <f t="shared" si="15"/>
        <v>4469</v>
      </c>
      <c r="O126" s="55"/>
    </row>
    <row r="127" spans="1:15" ht="15.75">
      <c r="A127" s="232">
        <v>10</v>
      </c>
      <c r="B127" s="287" t="s">
        <v>165</v>
      </c>
      <c r="C127" s="619">
        <v>5189</v>
      </c>
      <c r="D127" s="620">
        <v>4922</v>
      </c>
      <c r="E127" s="603">
        <f t="shared" si="13"/>
        <v>267</v>
      </c>
      <c r="F127" s="288">
        <f t="shared" si="14"/>
        <v>0.051455000963576795</v>
      </c>
      <c r="G127" s="73"/>
      <c r="H127" s="73"/>
      <c r="I127" s="73"/>
      <c r="J127" s="73"/>
      <c r="K127" s="73"/>
      <c r="L127" s="393">
        <v>1751</v>
      </c>
      <c r="M127" s="392"/>
      <c r="N127" s="393">
        <f t="shared" si="15"/>
        <v>1751</v>
      </c>
      <c r="O127" s="55"/>
    </row>
    <row r="128" spans="1:15" ht="15.75">
      <c r="A128" s="232">
        <v>11</v>
      </c>
      <c r="B128" s="287" t="s">
        <v>166</v>
      </c>
      <c r="C128" s="619">
        <v>7551</v>
      </c>
      <c r="D128" s="620">
        <v>7162</v>
      </c>
      <c r="E128" s="603">
        <f t="shared" si="13"/>
        <v>389</v>
      </c>
      <c r="F128" s="288">
        <f t="shared" si="14"/>
        <v>0.05151635544960932</v>
      </c>
      <c r="G128" s="73"/>
      <c r="H128" s="73"/>
      <c r="I128" s="73"/>
      <c r="J128" s="73"/>
      <c r="K128" s="73"/>
      <c r="L128" s="393">
        <v>2247</v>
      </c>
      <c r="M128" s="392"/>
      <c r="N128" s="393">
        <f t="shared" si="15"/>
        <v>2247</v>
      </c>
      <c r="O128" s="55"/>
    </row>
    <row r="129" spans="1:15" ht="17.25" thickBot="1">
      <c r="A129" s="566"/>
      <c r="B129" s="596" t="s">
        <v>11</v>
      </c>
      <c r="C129" s="621">
        <v>123391</v>
      </c>
      <c r="D129" s="621">
        <v>117033</v>
      </c>
      <c r="E129" s="622">
        <f t="shared" si="13"/>
        <v>6358</v>
      </c>
      <c r="F129" s="623">
        <f>D129/C129</f>
        <v>0.9484727411237448</v>
      </c>
      <c r="G129" s="74"/>
      <c r="H129" s="74"/>
      <c r="I129" s="74"/>
      <c r="J129" s="74"/>
      <c r="K129" s="74"/>
      <c r="L129" s="515">
        <v>37457</v>
      </c>
      <c r="M129" s="515">
        <f>SUM(M118:M128)</f>
        <v>1981</v>
      </c>
      <c r="N129" s="515">
        <f>SUM(N118:N128)</f>
        <v>39438</v>
      </c>
      <c r="O129" s="62"/>
    </row>
    <row r="130" spans="1:15" ht="23.25" customHeight="1" thickBot="1">
      <c r="A130" s="715" t="s">
        <v>227</v>
      </c>
      <c r="B130" s="715"/>
      <c r="C130" s="715"/>
      <c r="D130" s="715"/>
      <c r="E130" s="715"/>
      <c r="F130" s="715"/>
      <c r="G130" s="715"/>
      <c r="H130" s="51"/>
      <c r="I130" s="51"/>
      <c r="J130" s="51"/>
      <c r="K130" s="51"/>
      <c r="L130" s="51"/>
      <c r="M130" s="51"/>
      <c r="N130" s="51"/>
      <c r="O130" s="51"/>
    </row>
    <row r="131" spans="1:15" ht="65.25" customHeight="1">
      <c r="A131" s="590" t="s">
        <v>3</v>
      </c>
      <c r="B131" s="591" t="s">
        <v>64</v>
      </c>
      <c r="C131" s="591" t="str">
        <f>C117</f>
        <v>No. of children as per Enrollment for  2017-18</v>
      </c>
      <c r="D131" s="591" t="s">
        <v>93</v>
      </c>
      <c r="E131" s="592" t="s">
        <v>6</v>
      </c>
      <c r="F131" s="593" t="s">
        <v>7</v>
      </c>
      <c r="G131" s="73"/>
      <c r="H131" s="73"/>
      <c r="I131" s="73"/>
      <c r="J131" s="73"/>
      <c r="K131" s="73"/>
      <c r="L131" s="73"/>
      <c r="M131" s="73"/>
      <c r="N131" s="55"/>
      <c r="O131" s="55"/>
    </row>
    <row r="132" spans="1:15" ht="15.75">
      <c r="A132" s="232">
        <v>1</v>
      </c>
      <c r="B132" s="287" t="s">
        <v>156</v>
      </c>
      <c r="C132" s="624">
        <v>11646</v>
      </c>
      <c r="D132" s="625">
        <v>10802</v>
      </c>
      <c r="E132" s="603">
        <f aca="true" t="shared" si="16" ref="E132:E143">C132-D132</f>
        <v>844</v>
      </c>
      <c r="F132" s="288">
        <f aca="true" t="shared" si="17" ref="F132:F143">E132/C132</f>
        <v>0.07247123475871543</v>
      </c>
      <c r="G132" s="73"/>
      <c r="H132" s="73"/>
      <c r="I132" s="73"/>
      <c r="J132" s="73"/>
      <c r="K132" s="73"/>
      <c r="L132" s="73"/>
      <c r="M132" s="73"/>
      <c r="N132" s="55"/>
      <c r="O132" s="55"/>
    </row>
    <row r="133" spans="1:15" ht="15.75">
      <c r="A133" s="232">
        <v>2</v>
      </c>
      <c r="B133" s="287" t="s">
        <v>157</v>
      </c>
      <c r="C133" s="624">
        <v>636</v>
      </c>
      <c r="D133" s="625">
        <v>594</v>
      </c>
      <c r="E133" s="603">
        <f t="shared" si="16"/>
        <v>42</v>
      </c>
      <c r="F133" s="288">
        <f t="shared" si="17"/>
        <v>0.0660377358490566</v>
      </c>
      <c r="G133" s="73"/>
      <c r="H133" s="73"/>
      <c r="I133" s="73"/>
      <c r="J133" s="73"/>
      <c r="K133" s="73"/>
      <c r="L133" s="73"/>
      <c r="M133" s="73"/>
      <c r="N133" s="55"/>
      <c r="O133" s="55"/>
    </row>
    <row r="134" spans="1:15" ht="15.75">
      <c r="A134" s="232">
        <v>3</v>
      </c>
      <c r="B134" s="287" t="s">
        <v>158</v>
      </c>
      <c r="C134" s="624">
        <v>3900</v>
      </c>
      <c r="D134" s="625">
        <v>3642</v>
      </c>
      <c r="E134" s="603">
        <f t="shared" si="16"/>
        <v>258</v>
      </c>
      <c r="F134" s="288">
        <f t="shared" si="17"/>
        <v>0.06615384615384616</v>
      </c>
      <c r="G134" s="73"/>
      <c r="H134" s="73"/>
      <c r="I134" s="73"/>
      <c r="J134" s="73"/>
      <c r="K134" s="73"/>
      <c r="L134" s="73"/>
      <c r="M134" s="73"/>
      <c r="N134" s="55"/>
      <c r="O134" s="55"/>
    </row>
    <row r="135" spans="1:15" ht="15.75">
      <c r="A135" s="232">
        <v>4</v>
      </c>
      <c r="B135" s="287" t="s">
        <v>159</v>
      </c>
      <c r="C135" s="624">
        <v>1028</v>
      </c>
      <c r="D135" s="625">
        <v>959</v>
      </c>
      <c r="E135" s="603">
        <f t="shared" si="16"/>
        <v>69</v>
      </c>
      <c r="F135" s="288">
        <f t="shared" si="17"/>
        <v>0.06712062256809338</v>
      </c>
      <c r="G135" s="73"/>
      <c r="H135" s="73"/>
      <c r="I135" s="73"/>
      <c r="J135" s="73"/>
      <c r="K135" s="73"/>
      <c r="L135" s="73"/>
      <c r="M135" s="73"/>
      <c r="N135" s="55"/>
      <c r="O135" s="55"/>
    </row>
    <row r="136" spans="1:15" ht="15.75">
      <c r="A136" s="232">
        <v>5</v>
      </c>
      <c r="B136" s="287" t="s">
        <v>160</v>
      </c>
      <c r="C136" s="624">
        <v>3368</v>
      </c>
      <c r="D136" s="625">
        <v>3145</v>
      </c>
      <c r="E136" s="603">
        <f t="shared" si="16"/>
        <v>223</v>
      </c>
      <c r="F136" s="288">
        <f t="shared" si="17"/>
        <v>0.06621140142517815</v>
      </c>
      <c r="G136" s="73"/>
      <c r="H136" s="73"/>
      <c r="I136" s="73"/>
      <c r="J136" s="73"/>
      <c r="K136" s="73"/>
      <c r="L136" s="73"/>
      <c r="M136" s="73"/>
      <c r="N136" s="55"/>
      <c r="O136" s="55"/>
    </row>
    <row r="137" spans="1:15" ht="15.75">
      <c r="A137" s="232">
        <v>6</v>
      </c>
      <c r="B137" s="287" t="s">
        <v>161</v>
      </c>
      <c r="C137" s="624">
        <v>5600</v>
      </c>
      <c r="D137" s="625">
        <v>5229</v>
      </c>
      <c r="E137" s="603">
        <f t="shared" si="16"/>
        <v>371</v>
      </c>
      <c r="F137" s="288">
        <f t="shared" si="17"/>
        <v>0.06625</v>
      </c>
      <c r="G137" s="73"/>
      <c r="H137" s="73"/>
      <c r="I137" s="73"/>
      <c r="J137" s="73"/>
      <c r="K137" s="73"/>
      <c r="L137" s="73"/>
      <c r="M137" s="73"/>
      <c r="N137" s="55"/>
      <c r="O137" s="55"/>
    </row>
    <row r="138" spans="1:15" ht="15.75">
      <c r="A138" s="232">
        <v>7</v>
      </c>
      <c r="B138" s="287" t="s">
        <v>162</v>
      </c>
      <c r="C138" s="624">
        <v>2480</v>
      </c>
      <c r="D138" s="625">
        <v>2316</v>
      </c>
      <c r="E138" s="603">
        <f t="shared" si="16"/>
        <v>164</v>
      </c>
      <c r="F138" s="288">
        <f t="shared" si="17"/>
        <v>0.06612903225806452</v>
      </c>
      <c r="G138" s="73"/>
      <c r="H138" s="73"/>
      <c r="I138" s="73"/>
      <c r="J138" s="73"/>
      <c r="K138" s="73"/>
      <c r="L138" s="73"/>
      <c r="M138" s="73"/>
      <c r="N138" s="55"/>
      <c r="O138" s="55"/>
    </row>
    <row r="139" spans="1:15" ht="15.75">
      <c r="A139" s="232">
        <v>8</v>
      </c>
      <c r="B139" s="287" t="s">
        <v>163</v>
      </c>
      <c r="C139" s="624">
        <v>4587</v>
      </c>
      <c r="D139" s="625">
        <v>4284</v>
      </c>
      <c r="E139" s="603">
        <f t="shared" si="16"/>
        <v>303</v>
      </c>
      <c r="F139" s="288">
        <f t="shared" si="17"/>
        <v>0.06605624591236102</v>
      </c>
      <c r="G139" s="73"/>
      <c r="H139" s="73"/>
      <c r="I139" s="73"/>
      <c r="J139" s="73"/>
      <c r="K139" s="73"/>
      <c r="L139" s="73"/>
      <c r="M139" s="73"/>
      <c r="N139" s="55"/>
      <c r="O139" s="55"/>
    </row>
    <row r="140" spans="1:15" ht="15.75">
      <c r="A140" s="232">
        <v>9</v>
      </c>
      <c r="B140" s="287" t="s">
        <v>164</v>
      </c>
      <c r="C140" s="624">
        <v>4786</v>
      </c>
      <c r="D140" s="625">
        <v>4469</v>
      </c>
      <c r="E140" s="603">
        <f t="shared" si="16"/>
        <v>317</v>
      </c>
      <c r="F140" s="288">
        <f t="shared" si="17"/>
        <v>0.06623485165064773</v>
      </c>
      <c r="G140" s="73"/>
      <c r="H140" s="73"/>
      <c r="I140" s="73"/>
      <c r="J140" s="73"/>
      <c r="K140" s="73"/>
      <c r="L140" s="73"/>
      <c r="M140" s="73"/>
      <c r="N140" s="55"/>
      <c r="O140" s="55"/>
    </row>
    <row r="141" spans="1:15" ht="15.75">
      <c r="A141" s="232">
        <v>10</v>
      </c>
      <c r="B141" s="287" t="s">
        <v>165</v>
      </c>
      <c r="C141" s="624">
        <v>1874</v>
      </c>
      <c r="D141" s="625">
        <v>1751</v>
      </c>
      <c r="E141" s="603">
        <f t="shared" si="16"/>
        <v>123</v>
      </c>
      <c r="F141" s="288">
        <f t="shared" si="17"/>
        <v>0.06563500533617929</v>
      </c>
      <c r="G141" s="73"/>
      <c r="H141" s="73"/>
      <c r="I141" s="73"/>
      <c r="J141" s="73"/>
      <c r="K141" s="73"/>
      <c r="L141" s="73"/>
      <c r="M141" s="73"/>
      <c r="N141" s="55"/>
      <c r="O141" s="55"/>
    </row>
    <row r="142" spans="1:15" ht="15.75">
      <c r="A142" s="232">
        <v>11</v>
      </c>
      <c r="B142" s="287" t="s">
        <v>166</v>
      </c>
      <c r="C142" s="624">
        <v>2406</v>
      </c>
      <c r="D142" s="625">
        <v>2247</v>
      </c>
      <c r="E142" s="603">
        <f t="shared" si="16"/>
        <v>159</v>
      </c>
      <c r="F142" s="288">
        <f t="shared" si="17"/>
        <v>0.06608478802992519</v>
      </c>
      <c r="G142" s="73"/>
      <c r="H142" s="73"/>
      <c r="I142" s="73"/>
      <c r="J142" s="73"/>
      <c r="K142" s="73"/>
      <c r="L142" s="73"/>
      <c r="M142" s="73"/>
      <c r="N142" s="55"/>
      <c r="O142" s="55"/>
    </row>
    <row r="143" spans="1:15" ht="17.25" thickBot="1">
      <c r="A143" s="566"/>
      <c r="B143" s="596" t="s">
        <v>11</v>
      </c>
      <c r="C143" s="604">
        <v>42311</v>
      </c>
      <c r="D143" s="604">
        <v>39438</v>
      </c>
      <c r="E143" s="626">
        <f t="shared" si="16"/>
        <v>2873</v>
      </c>
      <c r="F143" s="606">
        <f t="shared" si="17"/>
        <v>0.06790196402826688</v>
      </c>
      <c r="G143" s="74"/>
      <c r="H143" s="74"/>
      <c r="I143" s="74"/>
      <c r="J143" s="74"/>
      <c r="K143" s="74"/>
      <c r="L143" s="74"/>
      <c r="M143" s="74"/>
      <c r="N143" s="62"/>
      <c r="O143" s="62"/>
    </row>
    <row r="144" spans="1:15" ht="12.75" customHeight="1">
      <c r="A144" s="217"/>
      <c r="B144" s="17"/>
      <c r="C144" s="17"/>
      <c r="D144" s="14"/>
      <c r="E144" s="167"/>
      <c r="F144" s="19"/>
      <c r="G144" s="72"/>
      <c r="H144" s="72"/>
      <c r="I144" s="72"/>
      <c r="J144" s="72"/>
      <c r="K144" s="72"/>
      <c r="L144" s="72"/>
      <c r="M144" s="72"/>
      <c r="N144" s="9"/>
      <c r="O144" s="9"/>
    </row>
    <row r="145" spans="1:15" ht="12.75" customHeight="1">
      <c r="A145" s="217"/>
      <c r="B145" s="17"/>
      <c r="C145" s="17"/>
      <c r="D145" s="14"/>
      <c r="E145" s="167"/>
      <c r="F145" s="19"/>
      <c r="G145" s="72"/>
      <c r="H145" s="72"/>
      <c r="I145" s="72"/>
      <c r="J145" s="72"/>
      <c r="K145" s="72"/>
      <c r="L145" s="72"/>
      <c r="M145" s="72"/>
      <c r="N145" s="9"/>
      <c r="O145" s="9"/>
    </row>
    <row r="146" spans="1:15" ht="12.75" customHeight="1">
      <c r="A146" s="217"/>
      <c r="B146" s="17"/>
      <c r="C146" s="17"/>
      <c r="D146" s="14"/>
      <c r="E146" s="167"/>
      <c r="F146" s="19"/>
      <c r="G146" s="72"/>
      <c r="H146" s="72"/>
      <c r="I146" s="72"/>
      <c r="J146" s="72"/>
      <c r="K146" s="72"/>
      <c r="L146" s="72"/>
      <c r="M146" s="72"/>
      <c r="N146" s="9"/>
      <c r="O146" s="9"/>
    </row>
    <row r="147" s="234" customFormat="1" ht="15">
      <c r="A147" s="234" t="s">
        <v>253</v>
      </c>
    </row>
    <row r="148" s="517" customFormat="1" ht="15.75" customHeight="1" thickBot="1">
      <c r="A148" s="235" t="s">
        <v>228</v>
      </c>
    </row>
    <row r="149" spans="1:6" ht="52.5">
      <c r="A149" s="133" t="s">
        <v>35</v>
      </c>
      <c r="B149" s="134" t="s">
        <v>17</v>
      </c>
      <c r="C149" s="134" t="s">
        <v>229</v>
      </c>
      <c r="D149" s="134" t="s">
        <v>265</v>
      </c>
      <c r="E149" s="202" t="s">
        <v>95</v>
      </c>
      <c r="F149" s="627"/>
    </row>
    <row r="150" spans="1:18" ht="15.75">
      <c r="A150" s="232">
        <v>1</v>
      </c>
      <c r="B150" s="287" t="s">
        <v>156</v>
      </c>
      <c r="C150" s="619">
        <v>7447440</v>
      </c>
      <c r="D150" s="620">
        <v>7146480</v>
      </c>
      <c r="E150" s="585">
        <f>D150/C150</f>
        <v>0.9595887982984758</v>
      </c>
      <c r="H150" s="628"/>
      <c r="I150" s="36" t="e">
        <f>#REF!*0.0001</f>
        <v>#REF!</v>
      </c>
      <c r="J150" s="107" t="e">
        <f>#REF!+D166</f>
        <v>#REF!</v>
      </c>
      <c r="M150" s="36">
        <v>33852</v>
      </c>
      <c r="N150" s="1">
        <v>9122</v>
      </c>
      <c r="O150" s="36">
        <f>M150+N150</f>
        <v>42974</v>
      </c>
      <c r="P150" s="12"/>
      <c r="Q150" s="12"/>
      <c r="R150" s="12"/>
    </row>
    <row r="151" spans="1:18" ht="15.75">
      <c r="A151" s="232">
        <v>2</v>
      </c>
      <c r="B151" s="287" t="s">
        <v>157</v>
      </c>
      <c r="C151" s="619">
        <v>1013320</v>
      </c>
      <c r="D151" s="620">
        <v>1043460</v>
      </c>
      <c r="E151" s="585">
        <f aca="true" t="shared" si="18" ref="E151:E161">D151/C151</f>
        <v>1.0297438124185845</v>
      </c>
      <c r="H151" s="628"/>
      <c r="I151" s="36" t="e">
        <f>#REF!*0.0001</f>
        <v>#REF!</v>
      </c>
      <c r="J151" s="107" t="e">
        <f>#REF!+D167</f>
        <v>#REF!</v>
      </c>
      <c r="M151" s="36">
        <v>4606</v>
      </c>
      <c r="N151" s="1">
        <v>312</v>
      </c>
      <c r="O151" s="36">
        <f aca="true" t="shared" si="19" ref="O151:O161">M151+N151</f>
        <v>4918</v>
      </c>
      <c r="P151" s="12"/>
      <c r="Q151" s="12"/>
      <c r="R151" s="12"/>
    </row>
    <row r="152" spans="1:18" ht="15.75">
      <c r="A152" s="232">
        <v>3</v>
      </c>
      <c r="B152" s="287" t="s">
        <v>158</v>
      </c>
      <c r="C152" s="619">
        <v>1672440</v>
      </c>
      <c r="D152" s="620">
        <v>1668700</v>
      </c>
      <c r="E152" s="585">
        <f t="shared" si="18"/>
        <v>0.997763746382531</v>
      </c>
      <c r="H152" s="628"/>
      <c r="I152" s="36" t="e">
        <f>#REF!*0.0001</f>
        <v>#REF!</v>
      </c>
      <c r="J152" s="107" t="e">
        <f>#REF!+D168</f>
        <v>#REF!</v>
      </c>
      <c r="M152" s="36">
        <v>7602</v>
      </c>
      <c r="N152" s="1">
        <v>3576</v>
      </c>
      <c r="O152" s="36">
        <f t="shared" si="19"/>
        <v>11178</v>
      </c>
      <c r="P152" s="12"/>
      <c r="Q152" s="12"/>
      <c r="R152" s="12"/>
    </row>
    <row r="153" spans="1:18" ht="15.75">
      <c r="A153" s="232">
        <v>4</v>
      </c>
      <c r="B153" s="287" t="s">
        <v>159</v>
      </c>
      <c r="C153" s="619">
        <v>473880</v>
      </c>
      <c r="D153" s="620">
        <v>531740</v>
      </c>
      <c r="E153" s="585">
        <f t="shared" si="18"/>
        <v>1.1220984215413186</v>
      </c>
      <c r="H153" s="628"/>
      <c r="I153" s="36" t="e">
        <f>#REF!*0.0001</f>
        <v>#REF!</v>
      </c>
      <c r="J153" s="107" t="e">
        <f>#REF!+D169</f>
        <v>#REF!</v>
      </c>
      <c r="M153" s="36">
        <v>2154</v>
      </c>
      <c r="N153" s="1">
        <v>704</v>
      </c>
      <c r="O153" s="36">
        <f t="shared" si="19"/>
        <v>2858</v>
      </c>
      <c r="P153" s="12"/>
      <c r="Q153" s="12"/>
      <c r="R153" s="12"/>
    </row>
    <row r="154" spans="1:18" ht="15.75">
      <c r="A154" s="232">
        <v>5</v>
      </c>
      <c r="B154" s="287" t="s">
        <v>160</v>
      </c>
      <c r="C154" s="619">
        <v>1745700</v>
      </c>
      <c r="D154" s="620">
        <v>1738220</v>
      </c>
      <c r="E154" s="585">
        <f t="shared" si="18"/>
        <v>0.9957151858853183</v>
      </c>
      <c r="H154" s="628"/>
      <c r="I154" s="36" t="e">
        <f>#REF!*0.0001</f>
        <v>#REF!</v>
      </c>
      <c r="J154" s="107" t="e">
        <f>#REF!+D177</f>
        <v>#REF!</v>
      </c>
      <c r="M154" s="36">
        <v>7935</v>
      </c>
      <c r="N154" s="1">
        <v>3044</v>
      </c>
      <c r="O154" s="36">
        <f t="shared" si="19"/>
        <v>10979</v>
      </c>
      <c r="P154" s="12"/>
      <c r="Q154" s="12"/>
      <c r="R154" s="12"/>
    </row>
    <row r="155" spans="1:18" ht="15.75">
      <c r="A155" s="232">
        <v>6</v>
      </c>
      <c r="B155" s="287" t="s">
        <v>161</v>
      </c>
      <c r="C155" s="619">
        <v>4453460</v>
      </c>
      <c r="D155" s="620">
        <v>4306280</v>
      </c>
      <c r="E155" s="585">
        <f t="shared" si="18"/>
        <v>0.966951538803537</v>
      </c>
      <c r="H155" s="628"/>
      <c r="I155" s="36" t="e">
        <f>#REF!*0.0001</f>
        <v>#REF!</v>
      </c>
      <c r="J155" s="107" t="e">
        <f>#REF!+D178</f>
        <v>#REF!</v>
      </c>
      <c r="M155" s="36">
        <v>20243</v>
      </c>
      <c r="N155" s="1">
        <v>5276</v>
      </c>
      <c r="O155" s="36">
        <f t="shared" si="19"/>
        <v>25519</v>
      </c>
      <c r="P155" s="12"/>
      <c r="Q155" s="12"/>
      <c r="R155" s="12"/>
    </row>
    <row r="156" spans="1:18" ht="15.75">
      <c r="A156" s="232">
        <v>7</v>
      </c>
      <c r="B156" s="287" t="s">
        <v>162</v>
      </c>
      <c r="C156" s="619">
        <v>1820060</v>
      </c>
      <c r="D156" s="620">
        <v>1808620</v>
      </c>
      <c r="E156" s="585">
        <f t="shared" si="18"/>
        <v>0.9937144929288045</v>
      </c>
      <c r="H156" s="628"/>
      <c r="J156" s="107"/>
      <c r="M156" s="36">
        <v>8273</v>
      </c>
      <c r="N156" s="1">
        <v>2156</v>
      </c>
      <c r="O156" s="36">
        <f t="shared" si="19"/>
        <v>10429</v>
      </c>
      <c r="P156" s="12"/>
      <c r="Q156" s="12"/>
      <c r="R156" s="12"/>
    </row>
    <row r="157" spans="1:18" ht="15.75">
      <c r="A157" s="232">
        <v>8</v>
      </c>
      <c r="B157" s="287" t="s">
        <v>163</v>
      </c>
      <c r="C157" s="619">
        <v>1788600</v>
      </c>
      <c r="D157" s="620">
        <v>1779140</v>
      </c>
      <c r="E157" s="585">
        <f t="shared" si="18"/>
        <v>0.994710947109471</v>
      </c>
      <c r="H157" s="628"/>
      <c r="J157" s="107"/>
      <c r="M157" s="36">
        <v>8130</v>
      </c>
      <c r="N157" s="1">
        <v>4261</v>
      </c>
      <c r="O157" s="36">
        <f t="shared" si="19"/>
        <v>12391</v>
      </c>
      <c r="P157" s="12"/>
      <c r="Q157" s="12"/>
      <c r="R157" s="12"/>
    </row>
    <row r="158" spans="1:18" ht="15.75">
      <c r="A158" s="232">
        <v>9</v>
      </c>
      <c r="B158" s="287" t="s">
        <v>164</v>
      </c>
      <c r="C158" s="619">
        <v>3146000</v>
      </c>
      <c r="D158" s="620">
        <v>3066140</v>
      </c>
      <c r="E158" s="585">
        <f t="shared" si="18"/>
        <v>0.9746153846153847</v>
      </c>
      <c r="H158" s="628"/>
      <c r="J158" s="107"/>
      <c r="M158" s="36">
        <v>14300</v>
      </c>
      <c r="N158" s="1">
        <v>4462</v>
      </c>
      <c r="O158" s="36">
        <f t="shared" si="19"/>
        <v>18762</v>
      </c>
      <c r="P158" s="12"/>
      <c r="Q158" s="12"/>
      <c r="R158" s="12"/>
    </row>
    <row r="159" spans="1:18" ht="15.75">
      <c r="A159" s="232">
        <v>10</v>
      </c>
      <c r="B159" s="287" t="s">
        <v>165</v>
      </c>
      <c r="C159" s="619">
        <v>1054680</v>
      </c>
      <c r="D159" s="620">
        <v>1082840</v>
      </c>
      <c r="E159" s="585">
        <f t="shared" si="18"/>
        <v>1.0267000417188152</v>
      </c>
      <c r="H159" s="628"/>
      <c r="J159" s="107"/>
      <c r="M159" s="36">
        <v>4794</v>
      </c>
      <c r="N159" s="1">
        <v>1550</v>
      </c>
      <c r="O159" s="36">
        <f t="shared" si="19"/>
        <v>6344</v>
      </c>
      <c r="P159" s="12"/>
      <c r="Q159" s="12"/>
      <c r="R159" s="12"/>
    </row>
    <row r="160" spans="1:18" ht="15.75">
      <c r="A160" s="232">
        <v>11</v>
      </c>
      <c r="B160" s="287" t="s">
        <v>166</v>
      </c>
      <c r="C160" s="619">
        <v>1943260</v>
      </c>
      <c r="D160" s="620">
        <v>1575640</v>
      </c>
      <c r="E160" s="585">
        <f t="shared" si="18"/>
        <v>0.8108230499264123</v>
      </c>
      <c r="H160" s="628"/>
      <c r="I160" s="36" t="e">
        <f>#REF!*0.0001</f>
        <v>#REF!</v>
      </c>
      <c r="J160" s="107" t="e">
        <f>#REF!+D179</f>
        <v>#REF!</v>
      </c>
      <c r="M160" s="36">
        <v>8833</v>
      </c>
      <c r="N160" s="1">
        <v>2082</v>
      </c>
      <c r="O160" s="36">
        <f t="shared" si="19"/>
        <v>10915</v>
      </c>
      <c r="P160" s="12"/>
      <c r="Q160" s="12"/>
      <c r="R160" s="12"/>
    </row>
    <row r="161" spans="1:18" ht="16.5" thickBot="1">
      <c r="A161" s="120"/>
      <c r="B161" s="629" t="s">
        <v>11</v>
      </c>
      <c r="C161" s="630">
        <v>26558840</v>
      </c>
      <c r="D161" s="630">
        <v>25747260</v>
      </c>
      <c r="E161" s="631">
        <f t="shared" si="18"/>
        <v>0.9694421894932158</v>
      </c>
      <c r="H161" s="61"/>
      <c r="I161" s="36" t="e">
        <f>#REF!*0.0001</f>
        <v>#REF!</v>
      </c>
      <c r="J161" s="107" t="e">
        <f>#REF!+D177</f>
        <v>#REF!</v>
      </c>
      <c r="M161" s="36">
        <v>120722</v>
      </c>
      <c r="N161" s="1">
        <v>36545</v>
      </c>
      <c r="O161" s="36">
        <f t="shared" si="19"/>
        <v>157267</v>
      </c>
      <c r="P161" s="18"/>
      <c r="Q161" s="18"/>
      <c r="R161" s="18"/>
    </row>
    <row r="162" spans="1:15" ht="15">
      <c r="A162" s="17"/>
      <c r="B162" s="53"/>
      <c r="C162" s="54"/>
      <c r="D162" s="187"/>
      <c r="E162" s="231"/>
      <c r="F162" s="2"/>
      <c r="G162" s="26"/>
      <c r="H162" s="26"/>
      <c r="I162" s="26"/>
      <c r="J162" s="26"/>
      <c r="K162" s="26"/>
      <c r="L162" s="26"/>
      <c r="M162" s="26"/>
      <c r="N162" s="21"/>
      <c r="O162" s="21"/>
    </row>
    <row r="163" spans="1:13" s="52" customFormat="1" ht="15">
      <c r="A163" s="752" t="s">
        <v>254</v>
      </c>
      <c r="B163" s="752"/>
      <c r="C163" s="752"/>
      <c r="D163" s="752"/>
      <c r="E163" s="752"/>
      <c r="F163" s="752"/>
      <c r="G163" s="752"/>
      <c r="H163" s="75"/>
      <c r="I163" s="75">
        <f>C161+C177</f>
        <v>34897324</v>
      </c>
      <c r="J163" s="75">
        <f>D161+D177</f>
        <v>34605872</v>
      </c>
      <c r="K163" s="258"/>
      <c r="L163" s="75"/>
      <c r="M163" s="75"/>
    </row>
    <row r="164" spans="1:6" ht="15.75" thickBot="1">
      <c r="A164" s="235" t="s">
        <v>230</v>
      </c>
      <c r="B164" s="20"/>
      <c r="C164" s="20"/>
      <c r="D164" s="174"/>
      <c r="E164" s="201"/>
      <c r="F164" s="20"/>
    </row>
    <row r="165" spans="1:6" ht="51" customHeight="1">
      <c r="A165" s="133" t="s">
        <v>3</v>
      </c>
      <c r="B165" s="134" t="s">
        <v>17</v>
      </c>
      <c r="C165" s="134" t="str">
        <f>C149</f>
        <v>No of meals to be served during 1/4/17 to 31/03/18</v>
      </c>
      <c r="D165" s="117" t="str">
        <f>D149</f>
        <v>No of meal served during 2017-18</v>
      </c>
      <c r="E165" s="632" t="s">
        <v>95</v>
      </c>
      <c r="F165" s="627"/>
    </row>
    <row r="166" spans="1:18" ht="15.75">
      <c r="A166" s="232">
        <v>1</v>
      </c>
      <c r="B166" s="287" t="s">
        <v>156</v>
      </c>
      <c r="C166" s="584">
        <v>2305424</v>
      </c>
      <c r="D166" s="619">
        <v>2558692</v>
      </c>
      <c r="E166" s="585">
        <f aca="true" t="shared" si="20" ref="E166:E177">D166/C166</f>
        <v>1.1098574492154154</v>
      </c>
      <c r="H166" s="628">
        <v>3389161</v>
      </c>
      <c r="I166" s="36">
        <f>H166+D166</f>
        <v>5947853</v>
      </c>
      <c r="J166" s="107">
        <v>14888552</v>
      </c>
      <c r="L166" s="36">
        <v>1416178</v>
      </c>
      <c r="M166" s="36">
        <v>229320</v>
      </c>
      <c r="N166" s="36">
        <f>L166+M166</f>
        <v>1645498</v>
      </c>
      <c r="O166" s="1">
        <v>969573</v>
      </c>
      <c r="P166" s="633">
        <v>225342</v>
      </c>
      <c r="Q166" s="633">
        <f>O166+P166</f>
        <v>1194915</v>
      </c>
      <c r="R166" s="633"/>
    </row>
    <row r="167" spans="1:18" ht="15.75">
      <c r="A167" s="232">
        <v>2</v>
      </c>
      <c r="B167" s="287" t="s">
        <v>157</v>
      </c>
      <c r="C167" s="584">
        <v>68640</v>
      </c>
      <c r="D167" s="619">
        <v>130680</v>
      </c>
      <c r="E167" s="585">
        <f t="shared" si="20"/>
        <v>1.9038461538461537</v>
      </c>
      <c r="H167" s="628">
        <v>8772216</v>
      </c>
      <c r="I167" s="36">
        <f>D167+H167</f>
        <v>8902896</v>
      </c>
      <c r="J167" s="107">
        <v>7027340</v>
      </c>
      <c r="L167" s="36">
        <v>213482</v>
      </c>
      <c r="M167" s="36">
        <v>0</v>
      </c>
      <c r="N167" s="36">
        <f aca="true" t="shared" si="21" ref="N167:N177">L167+M167</f>
        <v>213482</v>
      </c>
      <c r="O167" s="1">
        <v>139634</v>
      </c>
      <c r="P167" s="43">
        <v>0</v>
      </c>
      <c r="Q167" s="633">
        <f aca="true" t="shared" si="22" ref="Q167:Q176">O167+P167</f>
        <v>139634</v>
      </c>
      <c r="R167" s="633"/>
    </row>
    <row r="168" spans="1:18" ht="15.75">
      <c r="A168" s="232">
        <v>3</v>
      </c>
      <c r="B168" s="287" t="s">
        <v>158</v>
      </c>
      <c r="C168" s="584">
        <v>786720</v>
      </c>
      <c r="D168" s="619">
        <v>801240</v>
      </c>
      <c r="E168" s="585">
        <f t="shared" si="20"/>
        <v>1.0184563758389262</v>
      </c>
      <c r="H168" s="628">
        <v>3404397</v>
      </c>
      <c r="I168" s="36">
        <f>D168+H168</f>
        <v>4205637</v>
      </c>
      <c r="J168" s="107">
        <v>12227886</v>
      </c>
      <c r="L168" s="36">
        <v>575225</v>
      </c>
      <c r="M168" s="36">
        <v>0</v>
      </c>
      <c r="N168" s="36">
        <f t="shared" si="21"/>
        <v>575225</v>
      </c>
      <c r="O168" s="1">
        <v>385022</v>
      </c>
      <c r="P168" s="43">
        <v>0</v>
      </c>
      <c r="Q168" s="633">
        <f t="shared" si="22"/>
        <v>385022</v>
      </c>
      <c r="R168" s="633"/>
    </row>
    <row r="169" spans="1:18" ht="15.75">
      <c r="A169" s="232">
        <v>4</v>
      </c>
      <c r="B169" s="287" t="s">
        <v>159</v>
      </c>
      <c r="C169" s="584">
        <v>154880</v>
      </c>
      <c r="D169" s="619">
        <v>210980</v>
      </c>
      <c r="E169" s="585">
        <f t="shared" si="20"/>
        <v>1.3622159090909092</v>
      </c>
      <c r="H169" s="628">
        <v>11427127.36</v>
      </c>
      <c r="I169" s="36">
        <f>D169+H169</f>
        <v>11638107.36</v>
      </c>
      <c r="J169" s="107">
        <v>8307370</v>
      </c>
      <c r="L169" s="36">
        <v>157257</v>
      </c>
      <c r="M169" s="36">
        <v>0</v>
      </c>
      <c r="N169" s="36">
        <f t="shared" si="21"/>
        <v>157257</v>
      </c>
      <c r="O169" s="1">
        <v>105391</v>
      </c>
      <c r="P169" s="43">
        <v>0</v>
      </c>
      <c r="Q169" s="633">
        <f t="shared" si="22"/>
        <v>105391</v>
      </c>
      <c r="R169" s="633"/>
    </row>
    <row r="170" spans="1:18" ht="15.75">
      <c r="A170" s="232">
        <v>5</v>
      </c>
      <c r="B170" s="287" t="s">
        <v>160</v>
      </c>
      <c r="C170" s="584">
        <v>669680</v>
      </c>
      <c r="D170" s="619">
        <v>691900</v>
      </c>
      <c r="E170" s="585">
        <f t="shared" si="20"/>
        <v>1.033180026281209</v>
      </c>
      <c r="H170" s="628">
        <v>938424</v>
      </c>
      <c r="I170" s="36">
        <f>D170+H170</f>
        <v>1630324</v>
      </c>
      <c r="J170" s="107">
        <v>7040488</v>
      </c>
      <c r="L170" s="36">
        <v>753761</v>
      </c>
      <c r="M170" s="36">
        <v>0</v>
      </c>
      <c r="N170" s="36">
        <f t="shared" si="21"/>
        <v>753761</v>
      </c>
      <c r="O170" s="1">
        <v>451935</v>
      </c>
      <c r="P170" s="43">
        <v>0</v>
      </c>
      <c r="Q170" s="633">
        <f t="shared" si="22"/>
        <v>451935</v>
      </c>
      <c r="R170" s="633"/>
    </row>
    <row r="171" spans="1:18" ht="15.75">
      <c r="A171" s="232">
        <v>6</v>
      </c>
      <c r="B171" s="287" t="s">
        <v>161</v>
      </c>
      <c r="C171" s="584">
        <v>1160720</v>
      </c>
      <c r="D171" s="619">
        <v>1150380</v>
      </c>
      <c r="E171" s="585">
        <f t="shared" si="20"/>
        <v>0.9910917361637605</v>
      </c>
      <c r="H171" s="628">
        <v>5626774</v>
      </c>
      <c r="I171" s="36">
        <f>D171+H171</f>
        <v>6777154</v>
      </c>
      <c r="J171" s="107">
        <v>15392252</v>
      </c>
      <c r="L171" s="36">
        <v>884895</v>
      </c>
      <c r="M171" s="36">
        <v>0</v>
      </c>
      <c r="N171" s="36">
        <f t="shared" si="21"/>
        <v>884895</v>
      </c>
      <c r="O171" s="1">
        <v>593626</v>
      </c>
      <c r="P171" s="43">
        <v>0</v>
      </c>
      <c r="Q171" s="633">
        <f t="shared" si="22"/>
        <v>593626</v>
      </c>
      <c r="R171" s="633"/>
    </row>
    <row r="172" spans="1:18" ht="15.75">
      <c r="A172" s="232">
        <v>7</v>
      </c>
      <c r="B172" s="287" t="s">
        <v>162</v>
      </c>
      <c r="C172" s="584">
        <v>474320</v>
      </c>
      <c r="D172" s="619">
        <v>509520</v>
      </c>
      <c r="E172" s="585">
        <f t="shared" si="20"/>
        <v>1.0742115027829313</v>
      </c>
      <c r="H172" s="628"/>
      <c r="J172" s="107"/>
      <c r="L172" s="36">
        <v>392710</v>
      </c>
      <c r="M172" s="36">
        <v>0</v>
      </c>
      <c r="N172" s="36">
        <f t="shared" si="21"/>
        <v>392710</v>
      </c>
      <c r="O172" s="1">
        <v>251317</v>
      </c>
      <c r="P172" s="43">
        <v>0</v>
      </c>
      <c r="Q172" s="633">
        <f t="shared" si="22"/>
        <v>251317</v>
      </c>
      <c r="R172" s="633"/>
    </row>
    <row r="173" spans="1:18" ht="15.75">
      <c r="A173" s="232">
        <v>8</v>
      </c>
      <c r="B173" s="287" t="s">
        <v>163</v>
      </c>
      <c r="C173" s="584">
        <v>937420</v>
      </c>
      <c r="D173" s="619">
        <v>942480</v>
      </c>
      <c r="E173" s="585">
        <f t="shared" si="20"/>
        <v>1.0053977939450833</v>
      </c>
      <c r="H173" s="628"/>
      <c r="J173" s="107"/>
      <c r="L173" s="36">
        <v>774175</v>
      </c>
      <c r="M173" s="36">
        <v>0</v>
      </c>
      <c r="N173" s="36">
        <f t="shared" si="21"/>
        <v>774175</v>
      </c>
      <c r="O173" s="1">
        <v>491502</v>
      </c>
      <c r="P173" s="43">
        <v>0</v>
      </c>
      <c r="Q173" s="633">
        <f t="shared" si="22"/>
        <v>491502</v>
      </c>
      <c r="R173" s="633"/>
    </row>
    <row r="174" spans="1:18" ht="15.75">
      <c r="A174" s="232">
        <v>9</v>
      </c>
      <c r="B174" s="287" t="s">
        <v>164</v>
      </c>
      <c r="C174" s="584">
        <v>981640</v>
      </c>
      <c r="D174" s="619">
        <v>983180</v>
      </c>
      <c r="E174" s="585">
        <f t="shared" si="20"/>
        <v>1.0015688032272523</v>
      </c>
      <c r="H174" s="628"/>
      <c r="J174" s="107"/>
      <c r="L174" s="36">
        <v>436306</v>
      </c>
      <c r="M174" s="36">
        <v>0</v>
      </c>
      <c r="N174" s="36">
        <f t="shared" si="21"/>
        <v>436306</v>
      </c>
      <c r="O174" s="1">
        <v>302621</v>
      </c>
      <c r="P174" s="43">
        <v>0</v>
      </c>
      <c r="Q174" s="633">
        <f t="shared" si="22"/>
        <v>302621</v>
      </c>
      <c r="R174" s="633"/>
    </row>
    <row r="175" spans="1:18" ht="15.75">
      <c r="A175" s="232">
        <v>10</v>
      </c>
      <c r="B175" s="287" t="s">
        <v>165</v>
      </c>
      <c r="C175" s="584">
        <v>341000</v>
      </c>
      <c r="D175" s="619">
        <v>385220</v>
      </c>
      <c r="E175" s="585">
        <f t="shared" si="20"/>
        <v>1.1296774193548387</v>
      </c>
      <c r="H175" s="628"/>
      <c r="J175" s="107"/>
      <c r="L175" s="36">
        <v>334409</v>
      </c>
      <c r="M175" s="36">
        <v>0</v>
      </c>
      <c r="N175" s="36">
        <f t="shared" si="21"/>
        <v>334409</v>
      </c>
      <c r="O175" s="1">
        <v>227117</v>
      </c>
      <c r="P175" s="43">
        <v>0</v>
      </c>
      <c r="Q175" s="633">
        <f t="shared" si="22"/>
        <v>227117</v>
      </c>
      <c r="R175" s="633"/>
    </row>
    <row r="176" spans="1:18" ht="15.75">
      <c r="A176" s="232">
        <v>11</v>
      </c>
      <c r="B176" s="287" t="s">
        <v>166</v>
      </c>
      <c r="C176" s="584">
        <v>458040</v>
      </c>
      <c r="D176" s="619">
        <v>494340</v>
      </c>
      <c r="E176" s="585">
        <f t="shared" si="20"/>
        <v>1.079250720461095</v>
      </c>
      <c r="H176" s="628">
        <v>325988</v>
      </c>
      <c r="I176" s="36">
        <f>D176+H176</f>
        <v>820328</v>
      </c>
      <c r="J176" s="107">
        <v>5863137</v>
      </c>
      <c r="L176" s="36">
        <v>553081</v>
      </c>
      <c r="M176" s="36">
        <v>0</v>
      </c>
      <c r="N176" s="36">
        <f t="shared" si="21"/>
        <v>553081</v>
      </c>
      <c r="O176" s="1">
        <v>378246</v>
      </c>
      <c r="P176" s="43">
        <v>0</v>
      </c>
      <c r="Q176" s="633">
        <f t="shared" si="22"/>
        <v>378246</v>
      </c>
      <c r="R176" s="633"/>
    </row>
    <row r="177" spans="1:18" ht="15.75" thickBot="1">
      <c r="A177" s="120"/>
      <c r="B177" s="629" t="s">
        <v>11</v>
      </c>
      <c r="C177" s="634">
        <v>8338484</v>
      </c>
      <c r="D177" s="634">
        <v>8858612</v>
      </c>
      <c r="E177" s="631">
        <f t="shared" si="20"/>
        <v>1.0623768061436587</v>
      </c>
      <c r="H177" s="47"/>
      <c r="I177" s="36">
        <f>SUM(I166:I176)</f>
        <v>39922299.36</v>
      </c>
      <c r="J177" s="107">
        <v>70747025</v>
      </c>
      <c r="L177" s="36">
        <v>6491479</v>
      </c>
      <c r="M177" s="36">
        <f>SUM(M166:M176)</f>
        <v>229320</v>
      </c>
      <c r="N177" s="36">
        <f t="shared" si="21"/>
        <v>6720799</v>
      </c>
      <c r="O177" s="1">
        <v>4295984</v>
      </c>
      <c r="P177" s="43">
        <v>0</v>
      </c>
      <c r="Q177" s="432">
        <f>SUM(Q166:Q176)</f>
        <v>4521326</v>
      </c>
      <c r="R177" s="633"/>
    </row>
    <row r="178" spans="1:15" ht="15">
      <c r="A178" s="17"/>
      <c r="B178" s="53"/>
      <c r="C178" s="54"/>
      <c r="D178" s="187"/>
      <c r="E178" s="635"/>
      <c r="F178" s="2"/>
      <c r="G178" s="26"/>
      <c r="H178" s="26"/>
      <c r="I178" s="26"/>
      <c r="J178" s="26"/>
      <c r="K178" s="26"/>
      <c r="L178" s="26"/>
      <c r="M178" s="26"/>
      <c r="N178" s="20"/>
      <c r="O178" s="20"/>
    </row>
    <row r="179" spans="1:13" s="2" customFormat="1" ht="16.5" customHeight="1">
      <c r="A179" s="715" t="s">
        <v>83</v>
      </c>
      <c r="B179" s="715"/>
      <c r="C179" s="715"/>
      <c r="D179" s="715"/>
      <c r="E179" s="715"/>
      <c r="F179" s="715"/>
      <c r="G179" s="71"/>
      <c r="H179" s="71"/>
      <c r="I179" s="71"/>
      <c r="J179" s="71"/>
      <c r="K179" s="71"/>
      <c r="L179" s="71"/>
      <c r="M179" s="71"/>
    </row>
    <row r="180" spans="1:13" s="2" customFormat="1" ht="16.5" customHeight="1">
      <c r="A180" s="92"/>
      <c r="B180" s="51"/>
      <c r="C180" s="51"/>
      <c r="D180" s="188"/>
      <c r="E180" s="203"/>
      <c r="F180" s="51"/>
      <c r="G180" s="71"/>
      <c r="H180" s="71">
        <v>12608696</v>
      </c>
      <c r="I180" s="71">
        <v>4792128</v>
      </c>
      <c r="J180" s="71">
        <f>H180+I180</f>
        <v>17400824</v>
      </c>
      <c r="K180" s="71"/>
      <c r="L180" s="71"/>
      <c r="M180" s="71"/>
    </row>
    <row r="181" spans="1:13" s="39" customFormat="1" ht="15.75" thickBot="1">
      <c r="A181" s="748" t="s">
        <v>68</v>
      </c>
      <c r="B181" s="748"/>
      <c r="C181" s="748"/>
      <c r="D181" s="748"/>
      <c r="E181" s="748"/>
      <c r="F181" s="748"/>
      <c r="G181" s="76"/>
      <c r="H181" s="76">
        <v>6006150</v>
      </c>
      <c r="I181" s="76">
        <v>1936272</v>
      </c>
      <c r="J181" s="71">
        <f aca="true" t="shared" si="23" ref="J181:J187">H181+I181</f>
        <v>7942422</v>
      </c>
      <c r="K181" s="76"/>
      <c r="L181" s="76"/>
      <c r="M181" s="76"/>
    </row>
    <row r="182" spans="1:10" ht="15.75" thickBot="1">
      <c r="A182" s="412" t="s">
        <v>3</v>
      </c>
      <c r="B182" s="413"/>
      <c r="C182" s="413" t="s">
        <v>4</v>
      </c>
      <c r="D182" s="413" t="s">
        <v>5</v>
      </c>
      <c r="E182" s="636" t="s">
        <v>6</v>
      </c>
      <c r="F182" s="637" t="s">
        <v>7</v>
      </c>
      <c r="H182" s="36">
        <v>10349640</v>
      </c>
      <c r="I182" s="36">
        <v>3920995</v>
      </c>
      <c r="J182" s="71">
        <f t="shared" si="23"/>
        <v>14270635</v>
      </c>
    </row>
    <row r="183" spans="1:10" ht="15">
      <c r="A183" s="638">
        <v>1</v>
      </c>
      <c r="B183" s="639">
        <v>2</v>
      </c>
      <c r="C183" s="640">
        <v>3</v>
      </c>
      <c r="D183" s="640">
        <v>4</v>
      </c>
      <c r="E183" s="641" t="s">
        <v>8</v>
      </c>
      <c r="F183" s="642">
        <v>6</v>
      </c>
      <c r="H183" s="36">
        <v>6964704</v>
      </c>
      <c r="I183" s="36">
        <v>2855716</v>
      </c>
      <c r="J183" s="71">
        <f t="shared" si="23"/>
        <v>9820420</v>
      </c>
    </row>
    <row r="184" spans="1:10" ht="30">
      <c r="A184" s="119">
        <v>1</v>
      </c>
      <c r="B184" s="15" t="s">
        <v>266</v>
      </c>
      <c r="C184" s="643">
        <v>814.37</v>
      </c>
      <c r="D184" s="386">
        <v>731.44</v>
      </c>
      <c r="E184" s="87">
        <f>C184-D184</f>
        <v>82.92999999999995</v>
      </c>
      <c r="F184" s="644">
        <f>D184/C184</f>
        <v>0.8981666809926693</v>
      </c>
      <c r="H184" s="36">
        <v>5851544</v>
      </c>
      <c r="I184" s="36">
        <v>1663984</v>
      </c>
      <c r="J184" s="71">
        <f t="shared" si="23"/>
        <v>7515528</v>
      </c>
    </row>
    <row r="185" spans="1:10" ht="31.5" customHeight="1">
      <c r="A185" s="119">
        <v>2</v>
      </c>
      <c r="B185" s="15" t="s">
        <v>267</v>
      </c>
      <c r="C185" s="643">
        <v>3906.66</v>
      </c>
      <c r="D185" s="263">
        <v>3906.66</v>
      </c>
      <c r="E185" s="276">
        <f>D185-C185</f>
        <v>0</v>
      </c>
      <c r="F185" s="644">
        <f>D185/C185</f>
        <v>1</v>
      </c>
      <c r="H185" s="36">
        <v>12539943</v>
      </c>
      <c r="I185" s="36">
        <v>5186704</v>
      </c>
      <c r="J185" s="71">
        <f t="shared" si="23"/>
        <v>17726647</v>
      </c>
    </row>
    <row r="186" spans="1:13" ht="29.25" customHeight="1" thickBot="1">
      <c r="A186" s="120">
        <v>3</v>
      </c>
      <c r="B186" s="645" t="s">
        <v>268</v>
      </c>
      <c r="C186" s="450">
        <v>3168.42</v>
      </c>
      <c r="D186" s="646">
        <v>3168.42</v>
      </c>
      <c r="E186" s="647">
        <v>0</v>
      </c>
      <c r="F186" s="644">
        <f>D186/C186</f>
        <v>1</v>
      </c>
      <c r="H186" s="113">
        <v>4981951</v>
      </c>
      <c r="I186" s="115">
        <v>1049940</v>
      </c>
      <c r="J186" s="71">
        <f t="shared" si="23"/>
        <v>6031891</v>
      </c>
      <c r="K186" s="115"/>
      <c r="L186" s="115"/>
      <c r="M186" s="115"/>
    </row>
    <row r="187" spans="1:10" ht="15">
      <c r="A187" s="192"/>
      <c r="H187" s="36">
        <v>59302628</v>
      </c>
      <c r="I187" s="36">
        <v>21405739</v>
      </c>
      <c r="J187" s="71">
        <f t="shared" si="23"/>
        <v>80708367</v>
      </c>
    </row>
    <row r="188" ht="15">
      <c r="A188" s="192"/>
    </row>
    <row r="189" s="240" customFormat="1" ht="15">
      <c r="A189" s="240" t="s">
        <v>69</v>
      </c>
    </row>
    <row r="190" spans="1:15" s="39" customFormat="1" ht="15">
      <c r="A190" s="218"/>
      <c r="B190" s="56"/>
      <c r="C190" s="56"/>
      <c r="D190" s="56"/>
      <c r="E190" s="57"/>
      <c r="F190" s="56"/>
      <c r="G190" s="38"/>
      <c r="H190" s="38"/>
      <c r="I190" s="38"/>
      <c r="J190" s="38"/>
      <c r="K190" s="38"/>
      <c r="L190" s="38"/>
      <c r="M190" s="38"/>
      <c r="N190" s="37"/>
      <c r="O190" s="37"/>
    </row>
    <row r="191" spans="1:15" s="39" customFormat="1" ht="15">
      <c r="A191" s="648" t="s">
        <v>231</v>
      </c>
      <c r="B191" s="241"/>
      <c r="C191" s="38"/>
      <c r="D191" s="173"/>
      <c r="E191" s="55"/>
      <c r="F191" s="37"/>
      <c r="G191" s="77"/>
      <c r="H191" s="77"/>
      <c r="I191" s="77"/>
      <c r="J191" s="77"/>
      <c r="K191" s="77"/>
      <c r="L191" s="77"/>
      <c r="M191" s="77"/>
      <c r="N191" s="58"/>
      <c r="O191" s="58"/>
    </row>
    <row r="192" spans="1:15" ht="15.75" thickBot="1">
      <c r="A192" s="235" t="s">
        <v>232</v>
      </c>
      <c r="B192" s="236"/>
      <c r="C192" s="20"/>
      <c r="D192" s="174"/>
      <c r="E192" s="204" t="s">
        <v>79</v>
      </c>
      <c r="G192" s="78"/>
      <c r="H192" s="78"/>
      <c r="I192" s="78"/>
      <c r="J192" s="78"/>
      <c r="K192" s="78"/>
      <c r="L192" s="78"/>
      <c r="M192" s="78"/>
      <c r="N192" s="27"/>
      <c r="O192" s="27"/>
    </row>
    <row r="193" spans="1:18" ht="47.25" customHeight="1" thickBot="1">
      <c r="A193" s="412" t="s">
        <v>9</v>
      </c>
      <c r="B193" s="413" t="s">
        <v>10</v>
      </c>
      <c r="C193" s="413" t="s">
        <v>269</v>
      </c>
      <c r="D193" s="413" t="s">
        <v>233</v>
      </c>
      <c r="E193" s="649" t="s">
        <v>270</v>
      </c>
      <c r="F193" s="29"/>
      <c r="L193" s="720" t="s">
        <v>13</v>
      </c>
      <c r="M193" s="721"/>
      <c r="N193" s="722"/>
      <c r="P193" s="720" t="s">
        <v>190</v>
      </c>
      <c r="Q193" s="721"/>
      <c r="R193" s="722"/>
    </row>
    <row r="194" spans="1:18" ht="15.75">
      <c r="A194" s="400">
        <v>1</v>
      </c>
      <c r="B194" s="401" t="s">
        <v>156</v>
      </c>
      <c r="C194" s="402">
        <v>1090.55</v>
      </c>
      <c r="D194" s="701">
        <v>207.488</v>
      </c>
      <c r="E194" s="702">
        <f>D194/C194</f>
        <v>0.1902599605703544</v>
      </c>
      <c r="F194" s="29"/>
      <c r="H194" s="36">
        <v>1633.19</v>
      </c>
      <c r="I194" s="36">
        <v>927.09</v>
      </c>
      <c r="J194" s="36">
        <f>SUM(H194:I194)</f>
        <v>2560.28</v>
      </c>
      <c r="L194" s="390">
        <v>744.74</v>
      </c>
      <c r="M194" s="390">
        <v>345.81</v>
      </c>
      <c r="N194" s="398">
        <f>SUM(L194:M194)</f>
        <v>1090.55</v>
      </c>
      <c r="O194" s="59"/>
      <c r="P194" s="390">
        <v>204.18</v>
      </c>
      <c r="Q194" s="390">
        <v>3.308</v>
      </c>
      <c r="R194" s="398">
        <f>SUM(P194:Q194)</f>
        <v>207.488</v>
      </c>
    </row>
    <row r="195" spans="1:18" ht="15.75">
      <c r="A195" s="232">
        <v>2</v>
      </c>
      <c r="B195" s="287" t="s">
        <v>157</v>
      </c>
      <c r="C195" s="268">
        <v>111.60999999999999</v>
      </c>
      <c r="D195" s="701">
        <v>27.78</v>
      </c>
      <c r="E195" s="700">
        <f aca="true" t="shared" si="24" ref="E195:E204">D195/C195</f>
        <v>0.24890242809784074</v>
      </c>
      <c r="F195" s="29"/>
      <c r="H195" s="36">
        <v>759.87</v>
      </c>
      <c r="I195" s="36">
        <v>391.62</v>
      </c>
      <c r="J195" s="36">
        <f aca="true" t="shared" si="25" ref="J195:J204">SUM(H195:I195)</f>
        <v>1151.49</v>
      </c>
      <c r="L195" s="390">
        <v>101.32</v>
      </c>
      <c r="M195" s="390">
        <v>10.29</v>
      </c>
      <c r="N195" s="398">
        <f aca="true" t="shared" si="26" ref="N195:N204">SUM(L195:M195)</f>
        <v>111.60999999999999</v>
      </c>
      <c r="O195" s="59"/>
      <c r="P195" s="390">
        <v>27.78</v>
      </c>
      <c r="Q195" s="390"/>
      <c r="R195" s="398">
        <f aca="true" t="shared" si="27" ref="R195:R204">SUM(P195:Q195)</f>
        <v>27.78</v>
      </c>
    </row>
    <row r="196" spans="1:18" ht="15.75">
      <c r="A196" s="232">
        <v>3</v>
      </c>
      <c r="B196" s="287" t="s">
        <v>158</v>
      </c>
      <c r="C196" s="268">
        <v>285.24</v>
      </c>
      <c r="D196" s="701">
        <v>45.85</v>
      </c>
      <c r="E196" s="700">
        <f t="shared" si="24"/>
        <v>0.16074183144019072</v>
      </c>
      <c r="F196" s="29"/>
      <c r="H196" s="36">
        <v>1376.61</v>
      </c>
      <c r="I196" s="36">
        <v>802.93</v>
      </c>
      <c r="J196" s="36">
        <f t="shared" si="25"/>
        <v>2179.54</v>
      </c>
      <c r="L196" s="390">
        <v>167.24</v>
      </c>
      <c r="M196" s="390">
        <v>118</v>
      </c>
      <c r="N196" s="398">
        <f t="shared" si="26"/>
        <v>285.24</v>
      </c>
      <c r="O196" s="65"/>
      <c r="P196" s="390">
        <v>45.85</v>
      </c>
      <c r="Q196" s="390"/>
      <c r="R196" s="398">
        <f t="shared" si="27"/>
        <v>45.85</v>
      </c>
    </row>
    <row r="197" spans="1:18" ht="15.75">
      <c r="A197" s="232">
        <v>4</v>
      </c>
      <c r="B197" s="287" t="s">
        <v>159</v>
      </c>
      <c r="C197" s="268">
        <v>70.62</v>
      </c>
      <c r="D197" s="701">
        <v>12.99</v>
      </c>
      <c r="E197" s="700">
        <f t="shared" si="24"/>
        <v>0.18394222599830076</v>
      </c>
      <c r="F197" s="30"/>
      <c r="H197" s="36">
        <v>986.98</v>
      </c>
      <c r="I197" s="36">
        <v>614.73</v>
      </c>
      <c r="J197" s="36">
        <f t="shared" si="25"/>
        <v>1601.71</v>
      </c>
      <c r="L197" s="390">
        <v>47.39</v>
      </c>
      <c r="M197" s="390">
        <v>23.23</v>
      </c>
      <c r="N197" s="398">
        <f t="shared" si="26"/>
        <v>70.62</v>
      </c>
      <c r="O197" s="59"/>
      <c r="P197" s="390">
        <v>12.99</v>
      </c>
      <c r="Q197" s="390"/>
      <c r="R197" s="398">
        <f t="shared" si="27"/>
        <v>12.99</v>
      </c>
    </row>
    <row r="198" spans="1:18" ht="15.75">
      <c r="A198" s="232">
        <v>5</v>
      </c>
      <c r="B198" s="287" t="s">
        <v>160</v>
      </c>
      <c r="C198" s="268">
        <v>275.02</v>
      </c>
      <c r="D198" s="701">
        <v>47.86</v>
      </c>
      <c r="E198" s="700">
        <f t="shared" si="24"/>
        <v>0.17402370736673697</v>
      </c>
      <c r="F198" s="29"/>
      <c r="H198" s="36">
        <v>880.91</v>
      </c>
      <c r="I198" s="36">
        <v>412.36</v>
      </c>
      <c r="J198" s="36">
        <f t="shared" si="25"/>
        <v>1293.27</v>
      </c>
      <c r="L198" s="390">
        <v>174.57</v>
      </c>
      <c r="M198" s="390">
        <v>100.45</v>
      </c>
      <c r="N198" s="398">
        <f t="shared" si="26"/>
        <v>275.02</v>
      </c>
      <c r="O198" s="59"/>
      <c r="P198" s="390">
        <v>47.86</v>
      </c>
      <c r="Q198" s="390"/>
      <c r="R198" s="398">
        <f t="shared" si="27"/>
        <v>47.86</v>
      </c>
    </row>
    <row r="199" spans="1:18" ht="15.75">
      <c r="A199" s="232">
        <v>6</v>
      </c>
      <c r="B199" s="287" t="s">
        <v>161</v>
      </c>
      <c r="C199" s="268">
        <v>619.51</v>
      </c>
      <c r="D199" s="701">
        <v>122.09</v>
      </c>
      <c r="E199" s="700">
        <f t="shared" si="24"/>
        <v>0.19707510774644477</v>
      </c>
      <c r="F199" s="29"/>
      <c r="H199" s="36">
        <v>1788.97</v>
      </c>
      <c r="I199" s="36">
        <v>1193.29</v>
      </c>
      <c r="J199" s="36">
        <f t="shared" si="25"/>
        <v>2982.26</v>
      </c>
      <c r="L199" s="390">
        <v>445.35</v>
      </c>
      <c r="M199" s="390">
        <v>174.16</v>
      </c>
      <c r="N199" s="398">
        <f t="shared" si="26"/>
        <v>619.51</v>
      </c>
      <c r="O199" s="59"/>
      <c r="P199" s="390">
        <v>122.09</v>
      </c>
      <c r="Q199" s="390"/>
      <c r="R199" s="398">
        <f t="shared" si="27"/>
        <v>122.09</v>
      </c>
    </row>
    <row r="200" spans="1:18" ht="15.75">
      <c r="A200" s="232">
        <v>7</v>
      </c>
      <c r="B200" s="287" t="s">
        <v>162</v>
      </c>
      <c r="C200" s="268">
        <v>253.14999999999998</v>
      </c>
      <c r="D200" s="701">
        <v>49.9</v>
      </c>
      <c r="E200" s="700">
        <f t="shared" si="24"/>
        <v>0.1971163341892159</v>
      </c>
      <c r="F200" s="29"/>
      <c r="L200" s="390">
        <v>182.01</v>
      </c>
      <c r="M200" s="390">
        <v>71.14</v>
      </c>
      <c r="N200" s="398">
        <f t="shared" si="26"/>
        <v>253.14999999999998</v>
      </c>
      <c r="O200" s="59"/>
      <c r="P200" s="390">
        <v>49.9</v>
      </c>
      <c r="Q200" s="390"/>
      <c r="R200" s="398">
        <f t="shared" si="27"/>
        <v>49.9</v>
      </c>
    </row>
    <row r="201" spans="1:18" ht="15.75">
      <c r="A201" s="232">
        <v>8</v>
      </c>
      <c r="B201" s="287" t="s">
        <v>163</v>
      </c>
      <c r="C201" s="268">
        <v>319.47</v>
      </c>
      <c r="D201" s="701">
        <v>49.04</v>
      </c>
      <c r="E201" s="700">
        <f t="shared" si="24"/>
        <v>0.15350424139981844</v>
      </c>
      <c r="F201" s="29"/>
      <c r="L201" s="390">
        <v>178.86</v>
      </c>
      <c r="M201" s="390">
        <v>140.61</v>
      </c>
      <c r="N201" s="398">
        <f t="shared" si="26"/>
        <v>319.47</v>
      </c>
      <c r="O201" s="59"/>
      <c r="P201" s="390">
        <v>49.04</v>
      </c>
      <c r="Q201" s="390"/>
      <c r="R201" s="398">
        <f t="shared" si="27"/>
        <v>49.04</v>
      </c>
    </row>
    <row r="202" spans="1:18" ht="15.75">
      <c r="A202" s="232">
        <v>9</v>
      </c>
      <c r="B202" s="287" t="s">
        <v>164</v>
      </c>
      <c r="C202" s="268">
        <v>461.84000000000003</v>
      </c>
      <c r="D202" s="701">
        <v>86.24</v>
      </c>
      <c r="E202" s="700">
        <f t="shared" si="24"/>
        <v>0.18673133552745538</v>
      </c>
      <c r="F202" s="29"/>
      <c r="L202" s="390">
        <v>314.6</v>
      </c>
      <c r="M202" s="390">
        <v>147.24</v>
      </c>
      <c r="N202" s="398">
        <f t="shared" si="26"/>
        <v>461.84000000000003</v>
      </c>
      <c r="O202" s="59"/>
      <c r="P202" s="390">
        <v>86.24</v>
      </c>
      <c r="Q202" s="390"/>
      <c r="R202" s="398">
        <f t="shared" si="27"/>
        <v>86.24</v>
      </c>
    </row>
    <row r="203" spans="1:18" ht="15.75">
      <c r="A203" s="232">
        <v>10</v>
      </c>
      <c r="B203" s="287" t="s">
        <v>165</v>
      </c>
      <c r="C203" s="268">
        <v>156.62</v>
      </c>
      <c r="D203" s="701">
        <v>28.92</v>
      </c>
      <c r="E203" s="700">
        <f t="shared" si="24"/>
        <v>0.18465074703103052</v>
      </c>
      <c r="F203" s="29"/>
      <c r="L203" s="390">
        <v>105.47</v>
      </c>
      <c r="M203" s="390">
        <v>51.15</v>
      </c>
      <c r="N203" s="398">
        <f t="shared" si="26"/>
        <v>156.62</v>
      </c>
      <c r="O203" s="59"/>
      <c r="P203" s="390">
        <v>28.92</v>
      </c>
      <c r="Q203" s="390"/>
      <c r="R203" s="398">
        <f t="shared" si="27"/>
        <v>28.92</v>
      </c>
    </row>
    <row r="204" spans="1:18" ht="15.75">
      <c r="A204" s="232">
        <v>11</v>
      </c>
      <c r="B204" s="287" t="s">
        <v>166</v>
      </c>
      <c r="C204" s="268">
        <v>263.03000000000003</v>
      </c>
      <c r="D204" s="701">
        <v>53.28</v>
      </c>
      <c r="E204" s="700">
        <f t="shared" si="24"/>
        <v>0.2025624453484393</v>
      </c>
      <c r="F204" s="29"/>
      <c r="H204" s="36">
        <v>573.47</v>
      </c>
      <c r="I204" s="36">
        <v>277.98</v>
      </c>
      <c r="J204" s="36">
        <f t="shared" si="25"/>
        <v>851.45</v>
      </c>
      <c r="L204" s="390">
        <v>194.33</v>
      </c>
      <c r="M204" s="390">
        <v>68.7</v>
      </c>
      <c r="N204" s="398">
        <f t="shared" si="26"/>
        <v>263.03000000000003</v>
      </c>
      <c r="O204" s="65"/>
      <c r="P204" s="390">
        <v>53.28</v>
      </c>
      <c r="Q204" s="390"/>
      <c r="R204" s="398">
        <f t="shared" si="27"/>
        <v>53.28</v>
      </c>
    </row>
    <row r="205" spans="1:18" ht="15.75" thickBot="1">
      <c r="A205" s="650"/>
      <c r="B205" s="651" t="s">
        <v>11</v>
      </c>
      <c r="C205" s="652">
        <v>3906.6600000000003</v>
      </c>
      <c r="D205" s="703">
        <v>731.4379999999999</v>
      </c>
      <c r="E205" s="704">
        <f>D205/C205</f>
        <v>0.1872284764991066</v>
      </c>
      <c r="H205" s="71">
        <f>SUM(H194:H204)</f>
        <v>8000</v>
      </c>
      <c r="I205" s="71">
        <f>SUM(I194:I204)</f>
        <v>4620</v>
      </c>
      <c r="J205" s="71">
        <f>SUM(J194:J204)</f>
        <v>12620.000000000002</v>
      </c>
      <c r="L205" s="228">
        <v>2655.8799999999997</v>
      </c>
      <c r="M205" s="228">
        <v>1250.7800000000002</v>
      </c>
      <c r="N205" s="228">
        <f>SUM(N194:N204)</f>
        <v>3906.6600000000003</v>
      </c>
      <c r="O205" s="59"/>
      <c r="P205" s="228">
        <v>728.1299999999999</v>
      </c>
      <c r="Q205" s="228">
        <v>3.308</v>
      </c>
      <c r="R205" s="228">
        <f>SUM(R194:R204)</f>
        <v>731.4379999999999</v>
      </c>
    </row>
    <row r="206" spans="4:15" ht="15">
      <c r="D206" s="705"/>
      <c r="E206" s="706"/>
      <c r="G206" s="26"/>
      <c r="H206" s="26"/>
      <c r="I206" s="26"/>
      <c r="J206" s="26"/>
      <c r="K206" s="26"/>
      <c r="L206" s="26"/>
      <c r="M206" s="26"/>
      <c r="N206" s="20"/>
      <c r="O206" s="20"/>
    </row>
    <row r="207" spans="4:14" ht="15">
      <c r="D207" s="705"/>
      <c r="E207" s="706"/>
      <c r="N207" s="1" t="e">
        <f>#REF!+#REF!</f>
        <v>#REF!</v>
      </c>
    </row>
    <row r="208" spans="1:5" s="227" customFormat="1" ht="15">
      <c r="A208" s="227" t="s">
        <v>273</v>
      </c>
      <c r="D208" s="707"/>
      <c r="E208" s="707"/>
    </row>
    <row r="209" spans="1:146" ht="15.75" thickBot="1">
      <c r="A209" s="235" t="s">
        <v>234</v>
      </c>
      <c r="B209" s="239"/>
      <c r="C209" s="236"/>
      <c r="D209" s="705"/>
      <c r="E209" s="708" t="s">
        <v>79</v>
      </c>
      <c r="EP209" s="1" t="s">
        <v>146</v>
      </c>
    </row>
    <row r="210" spans="1:15" ht="43.5" customHeight="1" thickBot="1">
      <c r="A210" s="405" t="s">
        <v>3</v>
      </c>
      <c r="B210" s="406" t="s">
        <v>10</v>
      </c>
      <c r="C210" s="406" t="str">
        <f>C193</f>
        <v>Allocation for 2017-18                                </v>
      </c>
      <c r="D210" s="709" t="s">
        <v>271</v>
      </c>
      <c r="E210" s="710" t="s">
        <v>272</v>
      </c>
      <c r="F210" s="29"/>
      <c r="L210" s="720" t="s">
        <v>38</v>
      </c>
      <c r="M210" s="721"/>
      <c r="N210" s="722"/>
      <c r="O210" s="36"/>
    </row>
    <row r="211" spans="1:15" ht="15.75">
      <c r="A211" s="400">
        <v>1</v>
      </c>
      <c r="B211" s="401" t="s">
        <v>156</v>
      </c>
      <c r="C211" s="402">
        <v>1090.55</v>
      </c>
      <c r="D211" s="701">
        <v>-2.1819999999999027</v>
      </c>
      <c r="E211" s="711">
        <f>D211/C211</f>
        <v>-0.0020008252716518294</v>
      </c>
      <c r="L211" s="390">
        <v>25.230000000000132</v>
      </c>
      <c r="M211" s="390">
        <v>-27.412000000000035</v>
      </c>
      <c r="N211" s="398">
        <f>SUM(L211:M211)</f>
        <v>-2.1819999999999027</v>
      </c>
      <c r="O211" s="36"/>
    </row>
    <row r="212" spans="1:15" ht="15.75">
      <c r="A212" s="232">
        <v>2</v>
      </c>
      <c r="B212" s="287" t="s">
        <v>157</v>
      </c>
      <c r="C212" s="268">
        <v>111.60999999999999</v>
      </c>
      <c r="D212" s="701">
        <v>-13</v>
      </c>
      <c r="E212" s="712">
        <f aca="true" t="shared" si="28" ref="E212:E222">D212/C212</f>
        <v>-0.11647701818833439</v>
      </c>
      <c r="L212" s="390">
        <v>-3.6899999999999977</v>
      </c>
      <c r="M212" s="390">
        <v>-9.310000000000002</v>
      </c>
      <c r="N212" s="398">
        <f aca="true" t="shared" si="29" ref="N212:N221">SUM(L212:M212)</f>
        <v>-13</v>
      </c>
      <c r="O212" s="36"/>
    </row>
    <row r="213" spans="1:15" ht="15.75">
      <c r="A213" s="232">
        <v>3</v>
      </c>
      <c r="B213" s="287" t="s">
        <v>158</v>
      </c>
      <c r="C213" s="268">
        <v>285.24</v>
      </c>
      <c r="D213" s="701">
        <v>-2.9099999999999966</v>
      </c>
      <c r="E213" s="712">
        <f t="shared" si="28"/>
        <v>-0.010201935212452658</v>
      </c>
      <c r="L213" s="390">
        <v>-0.7299999999999898</v>
      </c>
      <c r="M213" s="390">
        <v>-2.180000000000007</v>
      </c>
      <c r="N213" s="398">
        <f t="shared" si="29"/>
        <v>-2.9099999999999966</v>
      </c>
      <c r="O213" s="36"/>
    </row>
    <row r="214" spans="1:15" ht="15.75">
      <c r="A214" s="232">
        <v>4</v>
      </c>
      <c r="B214" s="287" t="s">
        <v>159</v>
      </c>
      <c r="C214" s="268">
        <v>70.62</v>
      </c>
      <c r="D214" s="701">
        <v>-14.509999999999994</v>
      </c>
      <c r="E214" s="712">
        <f t="shared" si="28"/>
        <v>-0.20546587369017266</v>
      </c>
      <c r="L214" s="390">
        <v>-6.089999999999996</v>
      </c>
      <c r="M214" s="390">
        <v>-8.419999999999998</v>
      </c>
      <c r="N214" s="398">
        <f t="shared" si="29"/>
        <v>-14.509999999999994</v>
      </c>
      <c r="O214" s="36"/>
    </row>
    <row r="215" spans="1:15" ht="15.75">
      <c r="A215" s="232">
        <v>5</v>
      </c>
      <c r="B215" s="287" t="s">
        <v>160</v>
      </c>
      <c r="C215" s="268">
        <v>275.02</v>
      </c>
      <c r="D215" s="701">
        <v>-3.7399999999999807</v>
      </c>
      <c r="E215" s="712">
        <f t="shared" si="28"/>
        <v>-0.013599010981019493</v>
      </c>
      <c r="L215" s="390">
        <v>-0.39999999999997726</v>
      </c>
      <c r="M215" s="390">
        <v>-3.3400000000000034</v>
      </c>
      <c r="N215" s="398">
        <f t="shared" si="29"/>
        <v>-3.7399999999999807</v>
      </c>
      <c r="O215" s="36"/>
    </row>
    <row r="216" spans="1:15" ht="15.75">
      <c r="A216" s="232">
        <v>6</v>
      </c>
      <c r="B216" s="287" t="s">
        <v>161</v>
      </c>
      <c r="C216" s="268">
        <v>619.51</v>
      </c>
      <c r="D216" s="701">
        <v>13.399999999999949</v>
      </c>
      <c r="E216" s="712">
        <f t="shared" si="28"/>
        <v>0.021629997901567284</v>
      </c>
      <c r="L216" s="390">
        <v>11.799999999999955</v>
      </c>
      <c r="M216" s="390">
        <v>1.5999999999999943</v>
      </c>
      <c r="N216" s="398">
        <f t="shared" si="29"/>
        <v>13.399999999999949</v>
      </c>
      <c r="O216" s="36"/>
    </row>
    <row r="217" spans="1:15" ht="15.75">
      <c r="A217" s="232">
        <v>7</v>
      </c>
      <c r="B217" s="287" t="s">
        <v>162</v>
      </c>
      <c r="C217" s="268">
        <v>253.14999999999998</v>
      </c>
      <c r="D217" s="701">
        <v>-5.330000000000027</v>
      </c>
      <c r="E217" s="712">
        <f t="shared" si="28"/>
        <v>-0.021054710645862243</v>
      </c>
      <c r="L217" s="390">
        <v>-0.040000000000020464</v>
      </c>
      <c r="M217" s="390">
        <v>-5.290000000000006</v>
      </c>
      <c r="N217" s="398">
        <f t="shared" si="29"/>
        <v>-5.330000000000027</v>
      </c>
      <c r="O217" s="36"/>
    </row>
    <row r="218" spans="1:15" ht="15.75">
      <c r="A218" s="232">
        <v>8</v>
      </c>
      <c r="B218" s="287" t="s">
        <v>163</v>
      </c>
      <c r="C218" s="268">
        <v>319.47</v>
      </c>
      <c r="D218" s="701">
        <v>-0.9799999999999898</v>
      </c>
      <c r="E218" s="712">
        <f t="shared" si="28"/>
        <v>-0.003067580680502049</v>
      </c>
      <c r="L218" s="390">
        <v>-0.21999999999999886</v>
      </c>
      <c r="M218" s="390">
        <v>-0.7599999999999909</v>
      </c>
      <c r="N218" s="398">
        <f t="shared" si="29"/>
        <v>-0.9799999999999898</v>
      </c>
      <c r="O218" s="36"/>
    </row>
    <row r="219" spans="1:15" ht="15.75">
      <c r="A219" s="232">
        <v>9</v>
      </c>
      <c r="B219" s="287" t="s">
        <v>164</v>
      </c>
      <c r="C219" s="268">
        <v>461.84000000000003</v>
      </c>
      <c r="D219" s="701">
        <v>5.679999999999978</v>
      </c>
      <c r="E219" s="712">
        <f t="shared" si="28"/>
        <v>0.012298631560713619</v>
      </c>
      <c r="L219" s="390">
        <v>5.919999999999959</v>
      </c>
      <c r="M219" s="390">
        <v>-0.23999999999998067</v>
      </c>
      <c r="N219" s="398">
        <f t="shared" si="29"/>
        <v>5.679999999999978</v>
      </c>
      <c r="O219" s="36"/>
    </row>
    <row r="220" spans="1:15" ht="15.75">
      <c r="A220" s="232">
        <v>10</v>
      </c>
      <c r="B220" s="287" t="s">
        <v>165</v>
      </c>
      <c r="C220" s="268">
        <v>156.62</v>
      </c>
      <c r="D220" s="701">
        <v>-10.130000000000003</v>
      </c>
      <c r="E220" s="712">
        <f t="shared" si="28"/>
        <v>-0.06467884050568255</v>
      </c>
      <c r="L220" s="390">
        <v>-3.5</v>
      </c>
      <c r="M220" s="390">
        <v>-6.630000000000003</v>
      </c>
      <c r="N220" s="398">
        <f t="shared" si="29"/>
        <v>-10.130000000000003</v>
      </c>
      <c r="O220" s="36"/>
    </row>
    <row r="221" spans="1:16" ht="15.75">
      <c r="A221" s="232">
        <v>11</v>
      </c>
      <c r="B221" s="287" t="s">
        <v>166</v>
      </c>
      <c r="C221" s="268">
        <v>263.03000000000003</v>
      </c>
      <c r="D221" s="701">
        <v>30.059999999999988</v>
      </c>
      <c r="E221" s="712">
        <f t="shared" si="28"/>
        <v>0.11428354180131538</v>
      </c>
      <c r="L221" s="390">
        <v>35.5</v>
      </c>
      <c r="M221" s="390">
        <v>-5.440000000000012</v>
      </c>
      <c r="N221" s="398">
        <f t="shared" si="29"/>
        <v>30.059999999999988</v>
      </c>
      <c r="O221" s="36"/>
      <c r="P221" s="36"/>
    </row>
    <row r="222" spans="1:16" s="170" customFormat="1" ht="15.75" thickBot="1">
      <c r="A222" s="653"/>
      <c r="B222" s="654" t="s">
        <v>11</v>
      </c>
      <c r="C222" s="652">
        <v>3906.6600000000003</v>
      </c>
      <c r="D222" s="703">
        <v>-3.6419999999999746</v>
      </c>
      <c r="E222" s="713">
        <f t="shared" si="28"/>
        <v>-0.000932254150604346</v>
      </c>
      <c r="F222" s="165"/>
      <c r="G222" s="177"/>
      <c r="H222" s="177"/>
      <c r="I222" s="177"/>
      <c r="J222" s="177"/>
      <c r="K222" s="177"/>
      <c r="L222" s="228">
        <v>63.779999999999745</v>
      </c>
      <c r="M222" s="228">
        <v>-67.42200000000003</v>
      </c>
      <c r="N222" s="228">
        <f>SUM(N211:N221)</f>
        <v>-3.6419999999999746</v>
      </c>
      <c r="O222" s="360"/>
      <c r="P222" s="36"/>
    </row>
    <row r="223" spans="14:16" ht="15">
      <c r="N223" s="36"/>
      <c r="O223" s="36"/>
      <c r="P223" s="36"/>
    </row>
    <row r="224" spans="1:16" ht="15">
      <c r="A224" s="219"/>
      <c r="B224" s="33"/>
      <c r="C224" s="33"/>
      <c r="D224" s="175"/>
      <c r="E224" s="205"/>
      <c r="F224" s="32"/>
      <c r="N224" s="36"/>
      <c r="O224" s="36"/>
      <c r="P224" s="36"/>
    </row>
    <row r="225" spans="1:16" s="234" customFormat="1" ht="15.75">
      <c r="A225" s="234" t="s">
        <v>130</v>
      </c>
      <c r="N225" s="26"/>
      <c r="O225" s="26"/>
      <c r="P225" s="26"/>
    </row>
    <row r="226" spans="1:16" ht="15">
      <c r="A226" s="165"/>
      <c r="F226" s="31" t="s">
        <v>12</v>
      </c>
      <c r="N226" s="36"/>
      <c r="O226" s="36"/>
      <c r="P226" s="36"/>
    </row>
    <row r="227" spans="1:16" ht="48" customHeight="1">
      <c r="A227" s="139" t="s">
        <v>13</v>
      </c>
      <c r="B227" s="139" t="s">
        <v>235</v>
      </c>
      <c r="C227" s="139" t="s">
        <v>236</v>
      </c>
      <c r="D227" s="139" t="s">
        <v>14</v>
      </c>
      <c r="E227" s="206" t="s">
        <v>15</v>
      </c>
      <c r="F227" s="139" t="s">
        <v>16</v>
      </c>
      <c r="I227" s="36">
        <f>C228*5650/100000</f>
        <v>179.01573</v>
      </c>
      <c r="N227" s="36"/>
      <c r="O227" s="36"/>
      <c r="P227" s="36"/>
    </row>
    <row r="228" spans="1:6" ht="15.75">
      <c r="A228" s="655">
        <f>C222</f>
        <v>3906.6600000000003</v>
      </c>
      <c r="B228" s="89">
        <f>D205</f>
        <v>731.4379999999999</v>
      </c>
      <c r="C228" s="376">
        <f>E246</f>
        <v>3168.42</v>
      </c>
      <c r="D228" s="190">
        <f>B228+C228</f>
        <v>3899.858</v>
      </c>
      <c r="E228" s="94">
        <f>D228/A228</f>
        <v>0.9982588707489262</v>
      </c>
      <c r="F228" s="34">
        <f>A228*85/100</f>
        <v>3320.6610000000005</v>
      </c>
    </row>
    <row r="229" spans="1:5" ht="15">
      <c r="A229" s="764" t="s">
        <v>71</v>
      </c>
      <c r="B229" s="764"/>
      <c r="C229" s="764"/>
      <c r="D229" s="25"/>
      <c r="E229" s="25"/>
    </row>
    <row r="232" s="229" customFormat="1" ht="15.75" customHeight="1">
      <c r="A232" s="229" t="s">
        <v>274</v>
      </c>
    </row>
    <row r="233" spans="1:10" ht="15.75" thickBot="1">
      <c r="A233" s="235" t="s">
        <v>255</v>
      </c>
      <c r="H233" s="716" t="s">
        <v>96</v>
      </c>
      <c r="I233" s="716"/>
      <c r="J233" s="716"/>
    </row>
    <row r="234" spans="1:15" ht="45.75" customHeight="1" thickBot="1">
      <c r="A234" s="405" t="s">
        <v>3</v>
      </c>
      <c r="B234" s="406" t="s">
        <v>17</v>
      </c>
      <c r="C234" s="406" t="str">
        <f>C210</f>
        <v>Allocation for 2017-18                                </v>
      </c>
      <c r="D234" s="406" t="s">
        <v>235</v>
      </c>
      <c r="E234" s="410" t="s">
        <v>96</v>
      </c>
      <c r="F234" s="406" t="s">
        <v>18</v>
      </c>
      <c r="G234" s="411" t="s">
        <v>19</v>
      </c>
      <c r="H234" s="161" t="s">
        <v>148</v>
      </c>
      <c r="I234" s="79" t="s">
        <v>149</v>
      </c>
      <c r="J234" s="79"/>
      <c r="K234" s="517"/>
      <c r="L234" s="720" t="s">
        <v>96</v>
      </c>
      <c r="M234" s="721"/>
      <c r="N234" s="721"/>
      <c r="O234" s="399"/>
    </row>
    <row r="235" spans="1:15" ht="15.75">
      <c r="A235" s="400">
        <v>1</v>
      </c>
      <c r="B235" s="401" t="s">
        <v>156</v>
      </c>
      <c r="C235" s="402">
        <v>1090.55</v>
      </c>
      <c r="D235" s="408">
        <v>207.488</v>
      </c>
      <c r="E235" s="402">
        <v>888.78</v>
      </c>
      <c r="F235" s="409">
        <f>D235+E235</f>
        <v>1096.268</v>
      </c>
      <c r="G235" s="404">
        <f aca="true" t="shared" si="30" ref="G235:G246">F235/C235</f>
        <v>1.0052432258951907</v>
      </c>
      <c r="H235" s="264">
        <v>1297.5900000000001</v>
      </c>
      <c r="I235" s="264">
        <v>727.37</v>
      </c>
      <c r="J235" s="264">
        <f>SUM(H235:I235)</f>
        <v>2024.96</v>
      </c>
      <c r="K235" s="517"/>
      <c r="L235" s="334">
        <v>535.7</v>
      </c>
      <c r="M235" s="334">
        <v>353.08</v>
      </c>
      <c r="N235" s="398">
        <f>SUM(L235:M235)</f>
        <v>888.78</v>
      </c>
      <c r="O235" s="66"/>
    </row>
    <row r="236" spans="1:15" ht="15.75">
      <c r="A236" s="232">
        <v>2</v>
      </c>
      <c r="B236" s="287" t="s">
        <v>157</v>
      </c>
      <c r="C236" s="268">
        <v>111.60999999999999</v>
      </c>
      <c r="D236" s="334">
        <v>27.78</v>
      </c>
      <c r="E236" s="268">
        <v>83.16999999999999</v>
      </c>
      <c r="F236" s="22">
        <f aca="true" t="shared" si="31" ref="F236:F245">D236+E236</f>
        <v>110.94999999999999</v>
      </c>
      <c r="G236" s="162">
        <f t="shared" si="30"/>
        <v>0.9940865513842846</v>
      </c>
      <c r="H236" s="264">
        <v>603.55</v>
      </c>
      <c r="I236" s="264">
        <v>303.09000000000003</v>
      </c>
      <c r="J236" s="264">
        <f aca="true" t="shared" si="32" ref="J236:J245">SUM(H236:I236)</f>
        <v>906.64</v>
      </c>
      <c r="K236" s="517"/>
      <c r="L236" s="334">
        <v>72.88</v>
      </c>
      <c r="M236" s="334">
        <v>10.29</v>
      </c>
      <c r="N236" s="398">
        <f aca="true" t="shared" si="33" ref="N236:N245">SUM(L236:M236)</f>
        <v>83.16999999999999</v>
      </c>
      <c r="O236" s="66"/>
    </row>
    <row r="237" spans="1:15" ht="15.75">
      <c r="A237" s="232">
        <v>3</v>
      </c>
      <c r="B237" s="287" t="s">
        <v>158</v>
      </c>
      <c r="C237" s="268">
        <v>285.24</v>
      </c>
      <c r="D237" s="334">
        <v>45.85</v>
      </c>
      <c r="E237" s="268">
        <v>238.29000000000002</v>
      </c>
      <c r="F237" s="22">
        <f t="shared" si="31"/>
        <v>284.14000000000004</v>
      </c>
      <c r="G237" s="162">
        <f t="shared" si="30"/>
        <v>0.9961435983732998</v>
      </c>
      <c r="H237" s="264">
        <v>1091.66</v>
      </c>
      <c r="I237" s="264">
        <v>605.6899999999999</v>
      </c>
      <c r="J237" s="264">
        <f t="shared" si="32"/>
        <v>1697.35</v>
      </c>
      <c r="K237" s="517"/>
      <c r="L237" s="334">
        <v>120.29</v>
      </c>
      <c r="M237" s="334">
        <v>118</v>
      </c>
      <c r="N237" s="398">
        <f t="shared" si="33"/>
        <v>238.29000000000002</v>
      </c>
      <c r="O237" s="66"/>
    </row>
    <row r="238" spans="1:15" ht="15.75">
      <c r="A238" s="232">
        <v>4</v>
      </c>
      <c r="B238" s="287" t="s">
        <v>159</v>
      </c>
      <c r="C238" s="268">
        <v>70.62</v>
      </c>
      <c r="D238" s="334">
        <v>12.99</v>
      </c>
      <c r="E238" s="268">
        <v>57.32000000000001</v>
      </c>
      <c r="F238" s="22">
        <f t="shared" si="31"/>
        <v>70.31</v>
      </c>
      <c r="G238" s="163">
        <f t="shared" si="30"/>
        <v>0.9956103086944208</v>
      </c>
      <c r="H238" s="264">
        <v>766.5799999999999</v>
      </c>
      <c r="I238" s="264">
        <v>452.72</v>
      </c>
      <c r="J238" s="264">
        <f t="shared" si="32"/>
        <v>1219.3</v>
      </c>
      <c r="K238" s="517"/>
      <c r="L238" s="334">
        <v>34.09</v>
      </c>
      <c r="M238" s="334">
        <v>23.23</v>
      </c>
      <c r="N238" s="398">
        <f t="shared" si="33"/>
        <v>57.32000000000001</v>
      </c>
      <c r="O238" s="66"/>
    </row>
    <row r="239" spans="1:15" ht="15.75">
      <c r="A239" s="232">
        <v>5</v>
      </c>
      <c r="B239" s="287" t="s">
        <v>160</v>
      </c>
      <c r="C239" s="268">
        <v>275.02</v>
      </c>
      <c r="D239" s="334">
        <v>47.86</v>
      </c>
      <c r="E239" s="268">
        <v>226.01</v>
      </c>
      <c r="F239" s="22">
        <f t="shared" si="31"/>
        <v>273.87</v>
      </c>
      <c r="G239" s="162">
        <f t="shared" si="30"/>
        <v>0.9958184859282962</v>
      </c>
      <c r="H239" s="266">
        <v>693.55</v>
      </c>
      <c r="I239" s="264">
        <v>288.29</v>
      </c>
      <c r="J239" s="264">
        <f t="shared" si="32"/>
        <v>981.8399999999999</v>
      </c>
      <c r="K239" s="517"/>
      <c r="L239" s="334">
        <v>125.56</v>
      </c>
      <c r="M239" s="334">
        <v>100.45</v>
      </c>
      <c r="N239" s="398">
        <f t="shared" si="33"/>
        <v>226.01</v>
      </c>
      <c r="O239" s="66"/>
    </row>
    <row r="240" spans="1:14" ht="15.75">
      <c r="A240" s="232">
        <v>6</v>
      </c>
      <c r="B240" s="287" t="s">
        <v>161</v>
      </c>
      <c r="C240" s="268">
        <v>619.51</v>
      </c>
      <c r="D240" s="334">
        <v>122.09</v>
      </c>
      <c r="E240" s="268">
        <v>494.5</v>
      </c>
      <c r="F240" s="22">
        <f t="shared" si="31"/>
        <v>616.59</v>
      </c>
      <c r="G240" s="162">
        <f t="shared" si="30"/>
        <v>0.9952865974721958</v>
      </c>
      <c r="H240" s="265">
        <v>1431.55</v>
      </c>
      <c r="I240" s="264">
        <v>888.69</v>
      </c>
      <c r="J240" s="264">
        <f t="shared" si="32"/>
        <v>2320.24</v>
      </c>
      <c r="K240" s="517"/>
      <c r="L240" s="334">
        <v>320.34</v>
      </c>
      <c r="M240" s="334">
        <v>174.16</v>
      </c>
      <c r="N240" s="398">
        <f t="shared" si="33"/>
        <v>494.5</v>
      </c>
    </row>
    <row r="241" spans="1:14" ht="15.75">
      <c r="A241" s="232">
        <v>7</v>
      </c>
      <c r="B241" s="287" t="s">
        <v>162</v>
      </c>
      <c r="C241" s="268">
        <v>253.14999999999998</v>
      </c>
      <c r="D241" s="334">
        <v>49.9</v>
      </c>
      <c r="E241" s="268">
        <v>202.06</v>
      </c>
      <c r="F241" s="22">
        <f t="shared" si="31"/>
        <v>251.96</v>
      </c>
      <c r="G241" s="162">
        <f t="shared" si="30"/>
        <v>0.9952992297057082</v>
      </c>
      <c r="H241" s="265"/>
      <c r="I241" s="264"/>
      <c r="J241" s="264"/>
      <c r="K241" s="517"/>
      <c r="L241" s="334">
        <v>130.92</v>
      </c>
      <c r="M241" s="334">
        <v>71.14</v>
      </c>
      <c r="N241" s="398">
        <f t="shared" si="33"/>
        <v>202.06</v>
      </c>
    </row>
    <row r="242" spans="1:14" ht="15.75">
      <c r="A242" s="232">
        <v>8</v>
      </c>
      <c r="B242" s="287" t="s">
        <v>163</v>
      </c>
      <c r="C242" s="268">
        <v>319.47</v>
      </c>
      <c r="D242" s="334">
        <v>49.04</v>
      </c>
      <c r="E242" s="268">
        <v>269.26</v>
      </c>
      <c r="F242" s="22">
        <f t="shared" si="31"/>
        <v>318.3</v>
      </c>
      <c r="G242" s="162">
        <f t="shared" si="30"/>
        <v>0.9963376842896046</v>
      </c>
      <c r="H242" s="265"/>
      <c r="I242" s="264"/>
      <c r="J242" s="264"/>
      <c r="K242" s="517"/>
      <c r="L242" s="334">
        <v>128.65</v>
      </c>
      <c r="M242" s="334">
        <v>140.61</v>
      </c>
      <c r="N242" s="398">
        <f t="shared" si="33"/>
        <v>269.26</v>
      </c>
    </row>
    <row r="243" spans="1:14" ht="15.75">
      <c r="A243" s="232">
        <v>9</v>
      </c>
      <c r="B243" s="287" t="s">
        <v>164</v>
      </c>
      <c r="C243" s="268">
        <v>461.84000000000003</v>
      </c>
      <c r="D243" s="334">
        <v>86.24</v>
      </c>
      <c r="E243" s="268">
        <v>373.53</v>
      </c>
      <c r="F243" s="22">
        <f t="shared" si="31"/>
        <v>459.77</v>
      </c>
      <c r="G243" s="162">
        <f t="shared" si="30"/>
        <v>0.9955179282868525</v>
      </c>
      <c r="H243" s="265"/>
      <c r="I243" s="264"/>
      <c r="J243" s="264"/>
      <c r="K243" s="517"/>
      <c r="L243" s="334">
        <v>226.29</v>
      </c>
      <c r="M243" s="334">
        <v>147.24</v>
      </c>
      <c r="N243" s="398">
        <f t="shared" si="33"/>
        <v>373.53</v>
      </c>
    </row>
    <row r="244" spans="1:14" ht="15.75">
      <c r="A244" s="232">
        <v>10</v>
      </c>
      <c r="B244" s="287" t="s">
        <v>165</v>
      </c>
      <c r="C244" s="268">
        <v>156.62</v>
      </c>
      <c r="D244" s="334">
        <v>28.92</v>
      </c>
      <c r="E244" s="268">
        <v>127.00999999999999</v>
      </c>
      <c r="F244" s="22">
        <f t="shared" si="31"/>
        <v>155.93</v>
      </c>
      <c r="G244" s="162">
        <f t="shared" si="30"/>
        <v>0.9955944323841144</v>
      </c>
      <c r="H244" s="265"/>
      <c r="I244" s="264"/>
      <c r="J244" s="264"/>
      <c r="K244" s="517"/>
      <c r="L244" s="334">
        <v>75.86</v>
      </c>
      <c r="M244" s="334">
        <v>51.15</v>
      </c>
      <c r="N244" s="398">
        <f t="shared" si="33"/>
        <v>127.00999999999999</v>
      </c>
    </row>
    <row r="245" spans="1:14" ht="16.5" thickBot="1">
      <c r="A245" s="365">
        <v>11</v>
      </c>
      <c r="B245" s="366" t="s">
        <v>166</v>
      </c>
      <c r="C245" s="422">
        <v>263.03000000000003</v>
      </c>
      <c r="D245" s="423">
        <v>53.28</v>
      </c>
      <c r="E245" s="422">
        <v>208.49</v>
      </c>
      <c r="F245" s="424">
        <f t="shared" si="31"/>
        <v>261.77</v>
      </c>
      <c r="G245" s="163">
        <f t="shared" si="30"/>
        <v>0.9952096719005434</v>
      </c>
      <c r="H245" s="265">
        <v>464.55</v>
      </c>
      <c r="I245" s="264">
        <v>196.97</v>
      </c>
      <c r="J245" s="264">
        <f t="shared" si="32"/>
        <v>661.52</v>
      </c>
      <c r="K245" s="517"/>
      <c r="L245" s="334">
        <v>139.78</v>
      </c>
      <c r="M245" s="334">
        <v>68.71</v>
      </c>
      <c r="N245" s="398">
        <f t="shared" si="33"/>
        <v>208.49</v>
      </c>
    </row>
    <row r="246" spans="1:19" ht="15.75" thickBot="1">
      <c r="A246" s="290"/>
      <c r="B246" s="425" t="s">
        <v>11</v>
      </c>
      <c r="C246" s="426">
        <v>3906.6600000000003</v>
      </c>
      <c r="D246" s="426">
        <v>731.4379999999999</v>
      </c>
      <c r="E246" s="426">
        <v>3168.42</v>
      </c>
      <c r="F246" s="427">
        <f>SUM(F235:F245)</f>
        <v>3899.858</v>
      </c>
      <c r="G246" s="428">
        <f t="shared" si="30"/>
        <v>0.9982588707489262</v>
      </c>
      <c r="H246" s="267">
        <f>SUM(H235:H245)</f>
        <v>6349.030000000001</v>
      </c>
      <c r="I246" s="267">
        <f>SUM(I235:I245)</f>
        <v>3462.8199999999997</v>
      </c>
      <c r="J246" s="267">
        <f>SUM(J235:J245)</f>
        <v>9811.85</v>
      </c>
      <c r="K246" s="517"/>
      <c r="L246" s="228">
        <v>1910.36</v>
      </c>
      <c r="M246" s="228">
        <v>1258.0600000000002</v>
      </c>
      <c r="N246" s="228">
        <f>SUM(N235:N245)</f>
        <v>3168.42</v>
      </c>
      <c r="O246" s="59"/>
      <c r="S246" s="36">
        <f>Q246+R246</f>
        <v>0</v>
      </c>
    </row>
    <row r="247" spans="3:19" ht="15">
      <c r="C247" s="20"/>
      <c r="H247" s="90"/>
      <c r="I247" s="90"/>
      <c r="J247" s="90"/>
      <c r="K247" s="517"/>
      <c r="L247" s="517"/>
      <c r="M247" s="517"/>
      <c r="N247" s="656"/>
      <c r="O247" s="59"/>
      <c r="S247" s="36">
        <f>Q247+R247</f>
        <v>0</v>
      </c>
    </row>
    <row r="248" spans="1:19" ht="15">
      <c r="A248" s="220"/>
      <c r="H248" s="91"/>
      <c r="I248" s="91"/>
      <c r="J248" s="91"/>
      <c r="K248" s="91"/>
      <c r="L248" s="91"/>
      <c r="M248" s="91"/>
      <c r="S248" s="36"/>
    </row>
    <row r="249" s="227" customFormat="1" ht="15.75" customHeight="1">
      <c r="A249" s="227" t="s">
        <v>131</v>
      </c>
    </row>
    <row r="250" spans="1:15" ht="15">
      <c r="A250" s="165"/>
      <c r="H250" s="26"/>
      <c r="I250" s="26"/>
      <c r="J250" s="26"/>
      <c r="K250" s="26"/>
      <c r="L250" s="26"/>
      <c r="M250" s="26"/>
      <c r="N250" s="20"/>
      <c r="O250" s="20"/>
    </row>
    <row r="251" spans="1:15" ht="15">
      <c r="A251" s="35" t="s">
        <v>13</v>
      </c>
      <c r="B251" s="35" t="s">
        <v>21</v>
      </c>
      <c r="C251" s="35" t="s">
        <v>15</v>
      </c>
      <c r="D251" s="35" t="s">
        <v>22</v>
      </c>
      <c r="E251" s="184" t="s">
        <v>23</v>
      </c>
      <c r="H251" s="26"/>
      <c r="I251" s="26"/>
      <c r="J251" s="26"/>
      <c r="K251" s="26"/>
      <c r="L251" s="26"/>
      <c r="M251" s="26"/>
      <c r="N251" s="20"/>
      <c r="O251" s="20"/>
    </row>
    <row r="252" spans="1:15" ht="14.25" customHeight="1">
      <c r="A252" s="176">
        <f>C246</f>
        <v>3906.6600000000003</v>
      </c>
      <c r="B252" s="95">
        <f>F246</f>
        <v>3899.858</v>
      </c>
      <c r="C252" s="96">
        <f>G246</f>
        <v>0.9982588707489262</v>
      </c>
      <c r="D252" s="176">
        <f>D268</f>
        <v>3903.5000000000005</v>
      </c>
      <c r="E252" s="97">
        <f>D252/A252</f>
        <v>0.9991911248995305</v>
      </c>
      <c r="H252" s="26"/>
      <c r="I252" s="26"/>
      <c r="J252" s="26"/>
      <c r="K252" s="26"/>
      <c r="L252" s="26"/>
      <c r="M252" s="26"/>
      <c r="N252" s="20"/>
      <c r="O252" s="20"/>
    </row>
    <row r="253" spans="1:15" ht="15">
      <c r="A253" s="165"/>
      <c r="H253" s="26"/>
      <c r="I253" s="26"/>
      <c r="J253" s="26"/>
      <c r="K253" s="26"/>
      <c r="L253" s="26"/>
      <c r="M253" s="26"/>
      <c r="N253" s="20"/>
      <c r="O253" s="20"/>
    </row>
    <row r="254" s="227" customFormat="1" ht="15.75" customHeight="1">
      <c r="A254" s="227" t="s">
        <v>132</v>
      </c>
    </row>
    <row r="255" s="223" customFormat="1" ht="15.75" customHeight="1" thickBot="1">
      <c r="A255" s="223" t="s">
        <v>237</v>
      </c>
    </row>
    <row r="256" spans="1:15" ht="28.5" customHeight="1" thickBot="1">
      <c r="A256" s="405" t="s">
        <v>3</v>
      </c>
      <c r="B256" s="406" t="s">
        <v>17</v>
      </c>
      <c r="C256" s="406" t="str">
        <f>C234</f>
        <v>Allocation for 2017-18                                </v>
      </c>
      <c r="D256" s="406" t="s">
        <v>22</v>
      </c>
      <c r="E256" s="407" t="s">
        <v>23</v>
      </c>
      <c r="G256" s="1"/>
      <c r="H256" s="1"/>
      <c r="I256" s="1"/>
      <c r="J256" s="1"/>
      <c r="K256" s="1"/>
      <c r="L256" s="1"/>
      <c r="M256" s="720" t="s">
        <v>170</v>
      </c>
      <c r="N256" s="721"/>
      <c r="O256" s="721"/>
    </row>
    <row r="257" spans="1:15" ht="15.75">
      <c r="A257" s="400">
        <v>1</v>
      </c>
      <c r="B257" s="401" t="s">
        <v>156</v>
      </c>
      <c r="C257" s="402">
        <v>1090.55</v>
      </c>
      <c r="D257" s="403">
        <v>1098.45</v>
      </c>
      <c r="E257" s="404">
        <f>D257/C257</f>
        <v>1.0072440511668426</v>
      </c>
      <c r="G257" s="1"/>
      <c r="H257" s="1"/>
      <c r="I257" s="1"/>
      <c r="J257" s="1"/>
      <c r="K257" s="1"/>
      <c r="L257" s="1"/>
      <c r="M257" s="334">
        <v>714.65</v>
      </c>
      <c r="N257" s="334">
        <v>383.8</v>
      </c>
      <c r="O257" s="398">
        <f>SUM(M257:N257)</f>
        <v>1098.45</v>
      </c>
    </row>
    <row r="258" spans="1:15" ht="15.75">
      <c r="A258" s="232">
        <v>2</v>
      </c>
      <c r="B258" s="287" t="s">
        <v>157</v>
      </c>
      <c r="C258" s="268">
        <v>111.60999999999999</v>
      </c>
      <c r="D258" s="269">
        <v>123.94999999999999</v>
      </c>
      <c r="E258" s="162">
        <f aca="true" t="shared" si="34" ref="E258:E267">D258/C258</f>
        <v>1.110563569572619</v>
      </c>
      <c r="G258" s="1"/>
      <c r="H258" s="1"/>
      <c r="I258" s="1"/>
      <c r="J258" s="1"/>
      <c r="K258" s="1"/>
      <c r="L258" s="1"/>
      <c r="M258" s="334">
        <v>104.35</v>
      </c>
      <c r="N258" s="334">
        <v>19.6</v>
      </c>
      <c r="O258" s="398">
        <f aca="true" t="shared" si="35" ref="O258:O267">SUM(M258:N258)</f>
        <v>123.94999999999999</v>
      </c>
    </row>
    <row r="259" spans="1:15" ht="15.75">
      <c r="A259" s="232">
        <v>3</v>
      </c>
      <c r="B259" s="287" t="s">
        <v>158</v>
      </c>
      <c r="C259" s="268">
        <v>285.24</v>
      </c>
      <c r="D259" s="269">
        <v>287.05</v>
      </c>
      <c r="E259" s="162">
        <f t="shared" si="34"/>
        <v>1.0063455335857523</v>
      </c>
      <c r="G259" s="1"/>
      <c r="H259" s="1"/>
      <c r="I259" s="1"/>
      <c r="J259" s="1"/>
      <c r="K259" s="1"/>
      <c r="L259" s="1"/>
      <c r="M259" s="334">
        <v>166.87</v>
      </c>
      <c r="N259" s="334">
        <v>120.18</v>
      </c>
      <c r="O259" s="398">
        <f t="shared" si="35"/>
        <v>287.05</v>
      </c>
    </row>
    <row r="260" spans="1:15" ht="15.75">
      <c r="A260" s="232">
        <v>4</v>
      </c>
      <c r="B260" s="287" t="s">
        <v>159</v>
      </c>
      <c r="C260" s="268">
        <v>70.62</v>
      </c>
      <c r="D260" s="269">
        <v>84.82</v>
      </c>
      <c r="E260" s="162">
        <f t="shared" si="34"/>
        <v>1.2010761823845935</v>
      </c>
      <c r="G260" s="1"/>
      <c r="H260" s="1"/>
      <c r="I260" s="1"/>
      <c r="J260" s="1"/>
      <c r="K260" s="1"/>
      <c r="L260" s="1"/>
      <c r="M260" s="334">
        <v>53.17</v>
      </c>
      <c r="N260" s="334">
        <v>31.65</v>
      </c>
      <c r="O260" s="398">
        <f t="shared" si="35"/>
        <v>84.82</v>
      </c>
    </row>
    <row r="261" spans="1:15" ht="15.75">
      <c r="A261" s="232">
        <v>5</v>
      </c>
      <c r="B261" s="287" t="s">
        <v>160</v>
      </c>
      <c r="C261" s="268">
        <v>275.02</v>
      </c>
      <c r="D261" s="269">
        <v>277.61</v>
      </c>
      <c r="E261" s="162">
        <f t="shared" si="34"/>
        <v>1.0094174969093157</v>
      </c>
      <c r="G261" s="1"/>
      <c r="H261" s="1"/>
      <c r="I261" s="1"/>
      <c r="J261" s="1"/>
      <c r="K261" s="1"/>
      <c r="L261" s="1"/>
      <c r="M261" s="334">
        <v>173.82</v>
      </c>
      <c r="N261" s="334">
        <v>103.79</v>
      </c>
      <c r="O261" s="398">
        <f t="shared" si="35"/>
        <v>277.61</v>
      </c>
    </row>
    <row r="262" spans="1:15" ht="15.75">
      <c r="A262" s="232">
        <v>6</v>
      </c>
      <c r="B262" s="287" t="s">
        <v>161</v>
      </c>
      <c r="C262" s="268">
        <v>619.51</v>
      </c>
      <c r="D262" s="269">
        <v>603.19</v>
      </c>
      <c r="E262" s="162">
        <f t="shared" si="34"/>
        <v>0.9736565995706286</v>
      </c>
      <c r="G262" s="1"/>
      <c r="H262" s="1"/>
      <c r="I262" s="1"/>
      <c r="J262" s="1"/>
      <c r="K262" s="1"/>
      <c r="L262" s="1"/>
      <c r="M262" s="334">
        <v>430.63</v>
      </c>
      <c r="N262" s="334">
        <v>172.56</v>
      </c>
      <c r="O262" s="398">
        <f t="shared" si="35"/>
        <v>603.19</v>
      </c>
    </row>
    <row r="263" spans="1:15" ht="15.75">
      <c r="A263" s="232">
        <v>7</v>
      </c>
      <c r="B263" s="287" t="s">
        <v>162</v>
      </c>
      <c r="C263" s="268">
        <v>253.14999999999998</v>
      </c>
      <c r="D263" s="269">
        <v>257.29</v>
      </c>
      <c r="E263" s="162">
        <f t="shared" si="34"/>
        <v>1.0163539403515705</v>
      </c>
      <c r="G263" s="1"/>
      <c r="H263" s="1"/>
      <c r="I263" s="1"/>
      <c r="J263" s="1"/>
      <c r="K263" s="1"/>
      <c r="L263" s="1"/>
      <c r="M263" s="334">
        <v>180.86</v>
      </c>
      <c r="N263" s="334">
        <v>76.43</v>
      </c>
      <c r="O263" s="398">
        <f t="shared" si="35"/>
        <v>257.29</v>
      </c>
    </row>
    <row r="264" spans="1:15" ht="15.75">
      <c r="A264" s="232">
        <v>8</v>
      </c>
      <c r="B264" s="287" t="s">
        <v>163</v>
      </c>
      <c r="C264" s="268">
        <v>319.47</v>
      </c>
      <c r="D264" s="269">
        <v>319.28</v>
      </c>
      <c r="E264" s="162">
        <f t="shared" si="34"/>
        <v>0.9994052649701066</v>
      </c>
      <c r="G264" s="1"/>
      <c r="H264" s="1"/>
      <c r="I264" s="1"/>
      <c r="J264" s="1"/>
      <c r="K264" s="1"/>
      <c r="L264" s="1"/>
      <c r="M264" s="334">
        <v>177.91</v>
      </c>
      <c r="N264" s="334">
        <v>141.37</v>
      </c>
      <c r="O264" s="398">
        <f t="shared" si="35"/>
        <v>319.28</v>
      </c>
    </row>
    <row r="265" spans="1:15" ht="15.75">
      <c r="A265" s="232">
        <v>9</v>
      </c>
      <c r="B265" s="287" t="s">
        <v>164</v>
      </c>
      <c r="C265" s="268">
        <v>461.84000000000003</v>
      </c>
      <c r="D265" s="269">
        <v>454.09000000000003</v>
      </c>
      <c r="E265" s="162">
        <f t="shared" si="34"/>
        <v>0.983219296726139</v>
      </c>
      <c r="G265" s="1"/>
      <c r="H265" s="1"/>
      <c r="I265" s="1"/>
      <c r="J265" s="1"/>
      <c r="K265" s="1"/>
      <c r="L265" s="1"/>
      <c r="M265" s="334">
        <v>306.61</v>
      </c>
      <c r="N265" s="334">
        <v>147.48</v>
      </c>
      <c r="O265" s="398">
        <f t="shared" si="35"/>
        <v>454.09000000000003</v>
      </c>
    </row>
    <row r="266" spans="1:15" ht="15.75">
      <c r="A266" s="232">
        <v>10</v>
      </c>
      <c r="B266" s="287" t="s">
        <v>165</v>
      </c>
      <c r="C266" s="268">
        <v>156.62</v>
      </c>
      <c r="D266" s="269">
        <v>166.06</v>
      </c>
      <c r="E266" s="162">
        <f t="shared" si="34"/>
        <v>1.060273272889797</v>
      </c>
      <c r="G266" s="1"/>
      <c r="H266" s="1"/>
      <c r="I266" s="1"/>
      <c r="J266" s="1"/>
      <c r="K266" s="1"/>
      <c r="L266" s="1"/>
      <c r="M266" s="334">
        <v>108.28</v>
      </c>
      <c r="N266" s="334">
        <v>57.78</v>
      </c>
      <c r="O266" s="398">
        <f t="shared" si="35"/>
        <v>166.06</v>
      </c>
    </row>
    <row r="267" spans="1:15" ht="16.5" thickBot="1">
      <c r="A267" s="365">
        <v>11</v>
      </c>
      <c r="B267" s="366" t="s">
        <v>166</v>
      </c>
      <c r="C267" s="422">
        <v>263.03000000000003</v>
      </c>
      <c r="D267" s="429">
        <v>231.71</v>
      </c>
      <c r="E267" s="163">
        <f t="shared" si="34"/>
        <v>0.8809261300992282</v>
      </c>
      <c r="G267" s="1"/>
      <c r="H267" s="1"/>
      <c r="I267" s="1"/>
      <c r="J267" s="1"/>
      <c r="K267" s="1"/>
      <c r="L267" s="1"/>
      <c r="M267" s="334">
        <v>157.56</v>
      </c>
      <c r="N267" s="334">
        <v>74.15</v>
      </c>
      <c r="O267" s="398">
        <f t="shared" si="35"/>
        <v>231.71</v>
      </c>
    </row>
    <row r="268" spans="1:15" ht="15.75" thickBot="1">
      <c r="A268" s="290"/>
      <c r="B268" s="430" t="s">
        <v>11</v>
      </c>
      <c r="C268" s="426">
        <v>3906.6600000000003</v>
      </c>
      <c r="D268" s="426">
        <v>3903.5000000000005</v>
      </c>
      <c r="E268" s="315">
        <f>D268/C268</f>
        <v>0.9991911248995305</v>
      </c>
      <c r="F268" s="2"/>
      <c r="M268" s="228">
        <v>2574.71</v>
      </c>
      <c r="N268" s="228">
        <v>1328.7900000000002</v>
      </c>
      <c r="O268" s="228">
        <f>SUM(O257:O267)</f>
        <v>3903.5000000000005</v>
      </c>
    </row>
    <row r="269" spans="1:15" ht="15">
      <c r="A269" s="14"/>
      <c r="B269" s="98"/>
      <c r="C269" s="99"/>
      <c r="D269" s="178"/>
      <c r="E269" s="19"/>
      <c r="H269" s="26"/>
      <c r="I269" s="26"/>
      <c r="J269" s="26"/>
      <c r="K269" s="26"/>
      <c r="L269" s="26"/>
      <c r="M269" s="26"/>
      <c r="N269" s="20"/>
      <c r="O269" s="20"/>
    </row>
    <row r="270" spans="1:15" ht="15">
      <c r="A270" s="14"/>
      <c r="B270" s="98"/>
      <c r="C270" s="99"/>
      <c r="D270" s="178"/>
      <c r="E270" s="19"/>
      <c r="H270" s="26"/>
      <c r="I270" s="26"/>
      <c r="J270" s="26"/>
      <c r="K270" s="26"/>
      <c r="L270" s="26"/>
      <c r="M270" s="26"/>
      <c r="N270" s="20"/>
      <c r="O270" s="20"/>
    </row>
    <row r="271" s="227" customFormat="1" ht="15.75" customHeight="1">
      <c r="A271" s="227" t="s">
        <v>133</v>
      </c>
    </row>
    <row r="272" spans="1:15" ht="15.75">
      <c r="A272" s="165"/>
      <c r="H272" s="38"/>
      <c r="I272" s="38"/>
      <c r="J272" s="38"/>
      <c r="K272" s="38"/>
      <c r="L272" s="38"/>
      <c r="M272" s="38"/>
      <c r="N272" s="37"/>
      <c r="O272" s="37"/>
    </row>
    <row r="273" spans="1:15" ht="44.25" customHeight="1">
      <c r="A273" s="388" t="s">
        <v>13</v>
      </c>
      <c r="B273" s="388" t="s">
        <v>21</v>
      </c>
      <c r="C273" s="388" t="s">
        <v>15</v>
      </c>
      <c r="D273" s="388" t="s">
        <v>97</v>
      </c>
      <c r="E273" s="389" t="s">
        <v>203</v>
      </c>
      <c r="F273" s="388" t="s">
        <v>98</v>
      </c>
      <c r="G273" s="100"/>
      <c r="H273" s="38"/>
      <c r="I273" s="38"/>
      <c r="J273" s="38"/>
      <c r="K273" s="38"/>
      <c r="L273" s="38"/>
      <c r="M273" s="38"/>
      <c r="N273" s="37"/>
      <c r="O273" s="37"/>
    </row>
    <row r="274" spans="1:15" ht="15.75">
      <c r="A274" s="346">
        <v>117.2</v>
      </c>
      <c r="B274" s="83">
        <v>92.77</v>
      </c>
      <c r="C274" s="347">
        <f>B274/A274</f>
        <v>0.7915529010238908</v>
      </c>
      <c r="D274" s="346">
        <f>D290</f>
        <v>83.02000000000001</v>
      </c>
      <c r="E274" s="346">
        <f>E290</f>
        <v>83.02000000000001</v>
      </c>
      <c r="F274" s="348">
        <f>E274/D274</f>
        <v>1</v>
      </c>
      <c r="H274" s="38"/>
      <c r="I274" s="38"/>
      <c r="J274" s="38"/>
      <c r="K274" s="38"/>
      <c r="L274" s="38"/>
      <c r="M274" s="38"/>
      <c r="N274" s="37"/>
      <c r="O274" s="37"/>
    </row>
    <row r="275" spans="1:15" ht="41.25" customHeight="1">
      <c r="A275" s="753"/>
      <c r="B275" s="753"/>
      <c r="C275" s="753"/>
      <c r="D275" s="753"/>
      <c r="E275" s="753"/>
      <c r="F275" s="753"/>
      <c r="H275" s="38"/>
      <c r="I275" s="38">
        <f>310000*230*0.5/10000000</f>
        <v>3.565</v>
      </c>
      <c r="J275" s="38"/>
      <c r="K275" s="38"/>
      <c r="L275" s="38"/>
      <c r="M275" s="38"/>
      <c r="N275" s="37"/>
      <c r="O275" s="37"/>
    </row>
    <row r="276" s="227" customFormat="1" ht="15.75" customHeight="1">
      <c r="A276" s="227" t="s">
        <v>139</v>
      </c>
    </row>
    <row r="277" spans="1:18" ht="15.75" thickBot="1">
      <c r="A277" s="183"/>
      <c r="C277" s="20"/>
      <c r="D277" s="750" t="s">
        <v>84</v>
      </c>
      <c r="E277" s="750"/>
      <c r="F277" s="750"/>
      <c r="G277" s="750"/>
      <c r="H277" s="26"/>
      <c r="I277" s="26">
        <f>140000*230*0.5/10000000</f>
        <v>1.61</v>
      </c>
      <c r="J277" s="26"/>
      <c r="K277" s="26"/>
      <c r="L277" s="26"/>
      <c r="M277" s="26"/>
      <c r="N277" s="26"/>
      <c r="O277" s="26"/>
      <c r="P277" s="36"/>
      <c r="Q277" s="36"/>
      <c r="R277" s="36"/>
    </row>
    <row r="278" spans="1:18" ht="39" thickBot="1">
      <c r="A278" s="405" t="s">
        <v>9</v>
      </c>
      <c r="B278" s="406" t="s">
        <v>10</v>
      </c>
      <c r="C278" s="406" t="s">
        <v>13</v>
      </c>
      <c r="D278" s="410" t="s">
        <v>85</v>
      </c>
      <c r="E278" s="410" t="s">
        <v>140</v>
      </c>
      <c r="F278" s="406" t="s">
        <v>86</v>
      </c>
      <c r="G278" s="417" t="s">
        <v>87</v>
      </c>
      <c r="H278" s="26"/>
      <c r="I278" s="26"/>
      <c r="J278" s="26"/>
      <c r="K278" s="26"/>
      <c r="L278" s="26"/>
      <c r="M278" s="26"/>
      <c r="N278" s="26"/>
      <c r="O278" s="20"/>
      <c r="P278" s="36"/>
      <c r="Q278" s="36"/>
      <c r="R278" s="36"/>
    </row>
    <row r="279" spans="1:15" ht="15.75">
      <c r="A279" s="400">
        <v>1</v>
      </c>
      <c r="B279" s="401" t="s">
        <v>156</v>
      </c>
      <c r="C279" s="414">
        <v>32.72</v>
      </c>
      <c r="D279" s="408">
        <v>18.18</v>
      </c>
      <c r="E279" s="408">
        <v>18.18</v>
      </c>
      <c r="F279" s="415">
        <f>D279-E279</f>
        <v>0</v>
      </c>
      <c r="G279" s="416">
        <f aca="true" t="shared" si="36" ref="G279:G290">E279/D279</f>
        <v>1</v>
      </c>
      <c r="H279" s="26"/>
      <c r="I279" s="26"/>
      <c r="J279" s="26"/>
      <c r="K279" s="26"/>
      <c r="L279" s="26"/>
      <c r="M279" s="26"/>
      <c r="N279" s="20"/>
      <c r="O279" s="20"/>
    </row>
    <row r="280" spans="1:18" ht="15.75">
      <c r="A280" s="232">
        <v>2</v>
      </c>
      <c r="B280" s="287" t="s">
        <v>157</v>
      </c>
      <c r="C280" s="361">
        <v>3.35</v>
      </c>
      <c r="D280" s="334">
        <v>3.09</v>
      </c>
      <c r="E280" s="334">
        <v>3.09</v>
      </c>
      <c r="F280" s="362">
        <f aca="true" t="shared" si="37" ref="F280:F289">D280-E280</f>
        <v>0</v>
      </c>
      <c r="G280" s="363">
        <f t="shared" si="36"/>
        <v>1</v>
      </c>
      <c r="H280" s="26"/>
      <c r="I280" s="26"/>
      <c r="J280" s="26">
        <v>2210.3</v>
      </c>
      <c r="K280" s="26"/>
      <c r="L280" s="26"/>
      <c r="M280" s="26"/>
      <c r="N280" s="20"/>
      <c r="O280" s="67"/>
      <c r="P280" s="36"/>
      <c r="Q280" s="36"/>
      <c r="R280" s="36"/>
    </row>
    <row r="281" spans="1:18" ht="15.75">
      <c r="A281" s="232">
        <v>3</v>
      </c>
      <c r="B281" s="287" t="s">
        <v>158</v>
      </c>
      <c r="C281" s="361">
        <v>8.56</v>
      </c>
      <c r="D281" s="334">
        <v>5.33</v>
      </c>
      <c r="E281" s="334">
        <v>5.33</v>
      </c>
      <c r="F281" s="362">
        <f t="shared" si="37"/>
        <v>0</v>
      </c>
      <c r="G281" s="363">
        <f t="shared" si="36"/>
        <v>1</v>
      </c>
      <c r="H281" s="26"/>
      <c r="I281" s="26"/>
      <c r="J281" s="26">
        <v>1416.8</v>
      </c>
      <c r="K281" s="26"/>
      <c r="L281" s="26"/>
      <c r="M281" s="26"/>
      <c r="N281" s="85"/>
      <c r="O281" s="20"/>
      <c r="P281" s="36"/>
      <c r="Q281" s="36"/>
      <c r="R281" s="36"/>
    </row>
    <row r="282" spans="1:15" ht="15.75">
      <c r="A282" s="232">
        <v>4</v>
      </c>
      <c r="B282" s="287" t="s">
        <v>159</v>
      </c>
      <c r="C282" s="361">
        <v>2.12</v>
      </c>
      <c r="D282" s="334">
        <v>2.31</v>
      </c>
      <c r="E282" s="334">
        <v>2.31</v>
      </c>
      <c r="F282" s="362">
        <f t="shared" si="37"/>
        <v>0</v>
      </c>
      <c r="G282" s="363">
        <f t="shared" si="36"/>
        <v>1</v>
      </c>
      <c r="H282" s="26"/>
      <c r="I282" s="26"/>
      <c r="J282" s="26">
        <f>SUM(J280:J281)</f>
        <v>3627.1000000000004</v>
      </c>
      <c r="K282" s="26"/>
      <c r="L282" s="26"/>
      <c r="M282" s="26"/>
      <c r="N282" s="20"/>
      <c r="O282" s="67"/>
    </row>
    <row r="283" spans="1:15" ht="15.75">
      <c r="A283" s="232">
        <v>5</v>
      </c>
      <c r="B283" s="287" t="s">
        <v>160</v>
      </c>
      <c r="C283" s="361">
        <v>8.25</v>
      </c>
      <c r="D283" s="334">
        <v>5.52</v>
      </c>
      <c r="E283" s="334">
        <v>5.52</v>
      </c>
      <c r="F283" s="362">
        <f t="shared" si="37"/>
        <v>0</v>
      </c>
      <c r="G283" s="363">
        <f t="shared" si="36"/>
        <v>1</v>
      </c>
      <c r="H283" s="26"/>
      <c r="I283" s="26"/>
      <c r="J283" s="26"/>
      <c r="K283" s="26"/>
      <c r="L283" s="26"/>
      <c r="M283" s="26"/>
      <c r="N283" s="20"/>
      <c r="O283" s="20"/>
    </row>
    <row r="284" spans="1:18" ht="15.75">
      <c r="A284" s="232">
        <v>6</v>
      </c>
      <c r="B284" s="287" t="s">
        <v>161</v>
      </c>
      <c r="C284" s="364">
        <v>18.59</v>
      </c>
      <c r="D284" s="334">
        <v>11.77</v>
      </c>
      <c r="E284" s="334">
        <v>11.77</v>
      </c>
      <c r="F284" s="362">
        <f t="shared" si="37"/>
        <v>0</v>
      </c>
      <c r="G284" s="363">
        <f t="shared" si="36"/>
        <v>1</v>
      </c>
      <c r="H284" s="26"/>
      <c r="I284" s="26"/>
      <c r="J284" s="26">
        <v>2210.3</v>
      </c>
      <c r="K284" s="26"/>
      <c r="L284" s="26"/>
      <c r="M284" s="26"/>
      <c r="N284" s="20"/>
      <c r="O284" s="67"/>
      <c r="P284" s="36"/>
      <c r="Q284" s="36"/>
      <c r="R284" s="36"/>
    </row>
    <row r="285" spans="1:18" ht="15.75">
      <c r="A285" s="232">
        <v>7</v>
      </c>
      <c r="B285" s="287" t="s">
        <v>162</v>
      </c>
      <c r="C285" s="364">
        <v>7.59</v>
      </c>
      <c r="D285" s="334">
        <v>4.63</v>
      </c>
      <c r="E285" s="334">
        <v>4.63</v>
      </c>
      <c r="F285" s="362">
        <f t="shared" si="37"/>
        <v>0</v>
      </c>
      <c r="G285" s="363">
        <f t="shared" si="36"/>
        <v>1</v>
      </c>
      <c r="H285" s="26"/>
      <c r="I285" s="26"/>
      <c r="J285" s="26"/>
      <c r="K285" s="26"/>
      <c r="L285" s="26"/>
      <c r="M285" s="26"/>
      <c r="N285" s="20"/>
      <c r="O285" s="67"/>
      <c r="P285" s="36"/>
      <c r="Q285" s="36"/>
      <c r="R285" s="36"/>
    </row>
    <row r="286" spans="1:18" ht="15.75">
      <c r="A286" s="232">
        <v>8</v>
      </c>
      <c r="B286" s="287" t="s">
        <v>163</v>
      </c>
      <c r="C286" s="364">
        <v>9.57</v>
      </c>
      <c r="D286" s="334">
        <v>7.59</v>
      </c>
      <c r="E286" s="334">
        <v>7.59</v>
      </c>
      <c r="F286" s="362">
        <f t="shared" si="37"/>
        <v>0</v>
      </c>
      <c r="G286" s="363">
        <f t="shared" si="36"/>
        <v>1</v>
      </c>
      <c r="H286" s="26"/>
      <c r="I286" s="26"/>
      <c r="J286" s="26"/>
      <c r="K286" s="26"/>
      <c r="L286" s="26"/>
      <c r="M286" s="26"/>
      <c r="N286" s="20"/>
      <c r="O286" s="67"/>
      <c r="P286" s="36"/>
      <c r="Q286" s="36"/>
      <c r="R286" s="36"/>
    </row>
    <row r="287" spans="1:18" ht="15.75">
      <c r="A287" s="232">
        <v>9</v>
      </c>
      <c r="B287" s="287" t="s">
        <v>164</v>
      </c>
      <c r="C287" s="364">
        <v>13.86</v>
      </c>
      <c r="D287" s="334">
        <v>10.06</v>
      </c>
      <c r="E287" s="334">
        <v>10.06</v>
      </c>
      <c r="F287" s="362">
        <f t="shared" si="37"/>
        <v>0</v>
      </c>
      <c r="G287" s="363">
        <f t="shared" si="36"/>
        <v>1</v>
      </c>
      <c r="H287" s="26"/>
      <c r="I287" s="26"/>
      <c r="J287" s="26"/>
      <c r="K287" s="26"/>
      <c r="L287" s="26"/>
      <c r="M287" s="26"/>
      <c r="N287" s="20"/>
      <c r="O287" s="67"/>
      <c r="P287" s="36"/>
      <c r="Q287" s="36"/>
      <c r="R287" s="36"/>
    </row>
    <row r="288" spans="1:18" ht="15.75">
      <c r="A288" s="232">
        <v>10</v>
      </c>
      <c r="B288" s="287" t="s">
        <v>165</v>
      </c>
      <c r="C288" s="364">
        <v>4.7</v>
      </c>
      <c r="D288" s="334">
        <v>5.37</v>
      </c>
      <c r="E288" s="334">
        <v>5.37</v>
      </c>
      <c r="F288" s="362">
        <f t="shared" si="37"/>
        <v>0</v>
      </c>
      <c r="G288" s="363">
        <f t="shared" si="36"/>
        <v>1</v>
      </c>
      <c r="H288" s="26"/>
      <c r="I288" s="26"/>
      <c r="J288" s="26"/>
      <c r="K288" s="26"/>
      <c r="L288" s="26"/>
      <c r="M288" s="26"/>
      <c r="N288" s="20"/>
      <c r="O288" s="67"/>
      <c r="P288" s="36"/>
      <c r="Q288" s="36"/>
      <c r="R288" s="36"/>
    </row>
    <row r="289" spans="1:18" ht="16.5" thickBot="1">
      <c r="A289" s="365">
        <v>11</v>
      </c>
      <c r="B289" s="366" t="s">
        <v>166</v>
      </c>
      <c r="C289" s="367">
        <v>7.89</v>
      </c>
      <c r="D289" s="423">
        <v>9.17</v>
      </c>
      <c r="E289" s="423">
        <v>9.17</v>
      </c>
      <c r="F289" s="368">
        <f t="shared" si="37"/>
        <v>0</v>
      </c>
      <c r="G289" s="369">
        <f t="shared" si="36"/>
        <v>1</v>
      </c>
      <c r="H289" s="26"/>
      <c r="I289" s="26"/>
      <c r="J289" s="26">
        <v>1416.8</v>
      </c>
      <c r="K289" s="26"/>
      <c r="L289" s="26"/>
      <c r="M289" s="26"/>
      <c r="N289" s="85"/>
      <c r="O289" s="20"/>
      <c r="P289" s="36"/>
      <c r="Q289" s="36"/>
      <c r="R289" s="36"/>
    </row>
    <row r="290" spans="1:15" ht="16.5" thickBot="1">
      <c r="A290" s="370"/>
      <c r="B290" s="371" t="s">
        <v>11</v>
      </c>
      <c r="C290" s="372">
        <v>117.2</v>
      </c>
      <c r="D290" s="372">
        <v>83.02000000000001</v>
      </c>
      <c r="E290" s="372">
        <v>83.02000000000001</v>
      </c>
      <c r="F290" s="372">
        <f>SUM(F279:F289)</f>
        <v>0</v>
      </c>
      <c r="G290" s="300">
        <f t="shared" si="36"/>
        <v>1</v>
      </c>
      <c r="H290" s="26"/>
      <c r="I290" s="26"/>
      <c r="J290" s="26"/>
      <c r="K290" s="26"/>
      <c r="L290" s="26"/>
      <c r="M290" s="26"/>
      <c r="N290" s="20"/>
      <c r="O290" s="20"/>
    </row>
    <row r="291" spans="1:10" ht="15.75">
      <c r="A291" s="123"/>
      <c r="B291" s="124"/>
      <c r="C291" s="125"/>
      <c r="D291" s="191"/>
      <c r="E291" s="209"/>
      <c r="F291" s="99"/>
      <c r="G291" s="126"/>
      <c r="J291" s="36">
        <f>J282/100</f>
        <v>36.271</v>
      </c>
    </row>
    <row r="292" spans="7:15" ht="12" customHeight="1">
      <c r="G292" s="26"/>
      <c r="H292" s="114"/>
      <c r="I292" s="114"/>
      <c r="J292" s="114"/>
      <c r="K292" s="114"/>
      <c r="L292" s="114"/>
      <c r="M292" s="114"/>
      <c r="N292" s="657"/>
      <c r="O292" s="657"/>
    </row>
    <row r="293" spans="1:20" ht="15.75">
      <c r="A293" s="715" t="s">
        <v>70</v>
      </c>
      <c r="B293" s="715"/>
      <c r="C293" s="715"/>
      <c r="D293" s="715"/>
      <c r="E293" s="715"/>
      <c r="G293" s="26"/>
      <c r="H293" s="26"/>
      <c r="I293" s="26"/>
      <c r="J293" s="26"/>
      <c r="K293" s="26"/>
      <c r="L293" s="26"/>
      <c r="M293" s="26"/>
      <c r="N293" s="418"/>
      <c r="O293" s="418"/>
      <c r="P293" s="43"/>
      <c r="Q293" s="12"/>
      <c r="R293" s="12"/>
      <c r="S293" s="12"/>
      <c r="T293" s="12"/>
    </row>
    <row r="294" spans="1:20" ht="15">
      <c r="A294" s="174"/>
      <c r="D294" s="194"/>
      <c r="E294" s="658"/>
      <c r="F294" s="657"/>
      <c r="G294" s="114"/>
      <c r="H294" s="160">
        <v>632.1899999999999</v>
      </c>
      <c r="I294" s="87">
        <v>517.15</v>
      </c>
      <c r="J294" s="87">
        <f>H294+I294</f>
        <v>1149.34</v>
      </c>
      <c r="K294" s="517"/>
      <c r="L294" s="517"/>
      <c r="M294" s="517"/>
      <c r="N294" s="80"/>
      <c r="O294" s="50"/>
      <c r="P294" s="419"/>
      <c r="Q294" s="419"/>
      <c r="R294" s="419"/>
      <c r="S294" s="419"/>
      <c r="T294" s="43"/>
    </row>
    <row r="295" spans="1:20" ht="15">
      <c r="A295" s="659" t="s">
        <v>153</v>
      </c>
      <c r="B295" s="659"/>
      <c r="C295" s="24"/>
      <c r="D295" s="24"/>
      <c r="E295" s="25"/>
      <c r="F295" s="24"/>
      <c r="G295" s="26"/>
      <c r="H295" s="160">
        <v>399.24</v>
      </c>
      <c r="I295" s="87">
        <v>246.92</v>
      </c>
      <c r="J295" s="87">
        <f>H295+I295</f>
        <v>646.16</v>
      </c>
      <c r="K295" s="517"/>
      <c r="L295" s="517"/>
      <c r="M295" s="517"/>
      <c r="N295" s="80"/>
      <c r="O295" s="50"/>
      <c r="P295" s="419"/>
      <c r="Q295" s="419"/>
      <c r="R295" s="419"/>
      <c r="S295" s="419"/>
      <c r="T295" s="43"/>
    </row>
    <row r="296" spans="1:20" ht="15.75">
      <c r="A296" s="227" t="s">
        <v>238</v>
      </c>
      <c r="B296" s="227"/>
      <c r="C296" s="38"/>
      <c r="D296" s="173"/>
      <c r="E296" s="200"/>
      <c r="F296" s="37"/>
      <c r="G296" s="77"/>
      <c r="H296" s="160">
        <v>318.36</v>
      </c>
      <c r="I296" s="87">
        <v>192.34</v>
      </c>
      <c r="J296" s="87">
        <f>H296+I296</f>
        <v>510.70000000000005</v>
      </c>
      <c r="K296" s="517"/>
      <c r="L296" s="517"/>
      <c r="M296" s="517"/>
      <c r="N296" s="80"/>
      <c r="O296" s="50"/>
      <c r="P296" s="419"/>
      <c r="Q296" s="419"/>
      <c r="R296" s="419"/>
      <c r="S296" s="419"/>
      <c r="T296" s="43"/>
    </row>
    <row r="297" spans="1:20" ht="15.75" thickBot="1">
      <c r="A297" s="660" t="s">
        <v>239</v>
      </c>
      <c r="B297" s="660"/>
      <c r="C297" s="20"/>
      <c r="D297" s="174"/>
      <c r="E297" s="201" t="s">
        <v>28</v>
      </c>
      <c r="H297" s="160">
        <v>269.15999999999997</v>
      </c>
      <c r="I297" s="87">
        <v>117.21000000000001</v>
      </c>
      <c r="J297" s="87">
        <f>H297+I297</f>
        <v>386.37</v>
      </c>
      <c r="K297" s="517"/>
      <c r="L297" s="517"/>
      <c r="M297" s="517"/>
      <c r="N297" s="80"/>
      <c r="O297" s="50"/>
      <c r="P297" s="419"/>
      <c r="Q297" s="419"/>
      <c r="R297" s="419"/>
      <c r="S297" s="419"/>
      <c r="T297" s="43"/>
    </row>
    <row r="298" spans="1:20" ht="47.25" customHeight="1" thickBot="1">
      <c r="A298" s="301" t="s">
        <v>9</v>
      </c>
      <c r="B298" s="140" t="s">
        <v>10</v>
      </c>
      <c r="C298" s="140" t="s">
        <v>276</v>
      </c>
      <c r="D298" s="140" t="s">
        <v>240</v>
      </c>
      <c r="E298" s="661" t="s">
        <v>256</v>
      </c>
      <c r="F298" s="745"/>
      <c r="G298" s="746"/>
      <c r="H298" s="747"/>
      <c r="I298" s="88"/>
      <c r="J298" s="88"/>
      <c r="K298" s="517"/>
      <c r="L298" s="723" t="s">
        <v>13</v>
      </c>
      <c r="M298" s="723"/>
      <c r="N298" s="723"/>
      <c r="O298" s="19"/>
      <c r="P298" s="723" t="s">
        <v>191</v>
      </c>
      <c r="Q298" s="723"/>
      <c r="R298" s="723"/>
      <c r="S298" s="169"/>
      <c r="T298" s="43"/>
    </row>
    <row r="299" spans="1:20" ht="16.5" thickBot="1">
      <c r="A299" s="294">
        <v>1</v>
      </c>
      <c r="B299" s="295" t="s">
        <v>156</v>
      </c>
      <c r="C299" s="343">
        <v>405.22</v>
      </c>
      <c r="D299" s="304">
        <v>71.36</v>
      </c>
      <c r="E299" s="308">
        <f>D299/C299</f>
        <v>0.17610187058881593</v>
      </c>
      <c r="F299" s="44"/>
      <c r="G299" s="177"/>
      <c r="H299" s="168"/>
      <c r="I299" s="168"/>
      <c r="J299" s="80"/>
      <c r="K299" s="80"/>
      <c r="L299" s="334">
        <v>277.04</v>
      </c>
      <c r="M299" s="334">
        <v>128.18</v>
      </c>
      <c r="N299" s="398">
        <f>SUM(L299:M299)</f>
        <v>405.22</v>
      </c>
      <c r="O299" s="19"/>
      <c r="P299" s="334">
        <v>72.48</v>
      </c>
      <c r="Q299" s="334">
        <v>-1.12</v>
      </c>
      <c r="R299" s="398">
        <f>SUM(P299:Q299)</f>
        <v>71.36</v>
      </c>
      <c r="S299" s="169"/>
      <c r="T299" s="36"/>
    </row>
    <row r="300" spans="1:20" ht="16.5" thickBot="1">
      <c r="A300" s="232">
        <v>2</v>
      </c>
      <c r="B300" s="287" t="s">
        <v>157</v>
      </c>
      <c r="C300" s="344">
        <v>41.52</v>
      </c>
      <c r="D300" s="304">
        <v>12.44</v>
      </c>
      <c r="E300" s="309">
        <f aca="true" t="shared" si="38" ref="E300:E310">D300/C300</f>
        <v>0.29961464354527934</v>
      </c>
      <c r="F300" s="44"/>
      <c r="G300" s="177"/>
      <c r="H300" s="168"/>
      <c r="I300" s="168"/>
      <c r="J300" s="80"/>
      <c r="K300" s="80"/>
      <c r="L300" s="334">
        <v>37.7</v>
      </c>
      <c r="M300" s="334">
        <v>3.82</v>
      </c>
      <c r="N300" s="398">
        <f aca="true" t="shared" si="39" ref="N300:N309">SUM(L300:M300)</f>
        <v>41.52</v>
      </c>
      <c r="O300" s="19"/>
      <c r="P300" s="334">
        <v>12.5</v>
      </c>
      <c r="Q300" s="334">
        <v>-0.06</v>
      </c>
      <c r="R300" s="398">
        <f aca="true" t="shared" si="40" ref="R300:R309">SUM(P300:Q300)</f>
        <v>12.44</v>
      </c>
      <c r="S300" s="169"/>
      <c r="T300" s="36"/>
    </row>
    <row r="301" spans="1:20" ht="16.5" thickBot="1">
      <c r="A301" s="232">
        <v>3</v>
      </c>
      <c r="B301" s="287" t="s">
        <v>158</v>
      </c>
      <c r="C301" s="344">
        <v>105.95</v>
      </c>
      <c r="D301" s="304">
        <v>17.12</v>
      </c>
      <c r="E301" s="309">
        <f t="shared" si="38"/>
        <v>0.1615856536101935</v>
      </c>
      <c r="F301" s="44"/>
      <c r="G301" s="177"/>
      <c r="H301" s="168"/>
      <c r="I301" s="168"/>
      <c r="J301" s="80"/>
      <c r="K301" s="80"/>
      <c r="L301" s="334">
        <v>62.21</v>
      </c>
      <c r="M301" s="334">
        <v>43.74</v>
      </c>
      <c r="N301" s="398">
        <f t="shared" si="39"/>
        <v>105.95</v>
      </c>
      <c r="O301" s="19"/>
      <c r="P301" s="334">
        <v>17.5</v>
      </c>
      <c r="Q301" s="334">
        <v>-0.38</v>
      </c>
      <c r="R301" s="398">
        <f t="shared" si="40"/>
        <v>17.12</v>
      </c>
      <c r="S301" s="169"/>
      <c r="T301" s="36"/>
    </row>
    <row r="302" spans="1:20" ht="16.5" thickBot="1">
      <c r="A302" s="232">
        <v>4</v>
      </c>
      <c r="B302" s="287" t="s">
        <v>159</v>
      </c>
      <c r="C302" s="344">
        <v>26.24</v>
      </c>
      <c r="D302" s="304">
        <v>4.9</v>
      </c>
      <c r="E302" s="309">
        <f t="shared" si="38"/>
        <v>0.1867378048780488</v>
      </c>
      <c r="F302" s="44"/>
      <c r="G302" s="177"/>
      <c r="H302" s="168"/>
      <c r="I302" s="168"/>
      <c r="J302" s="80"/>
      <c r="K302" s="80"/>
      <c r="L302" s="334">
        <v>17.63</v>
      </c>
      <c r="M302" s="334">
        <v>8.61</v>
      </c>
      <c r="N302" s="398">
        <f t="shared" si="39"/>
        <v>26.24</v>
      </c>
      <c r="O302" s="19"/>
      <c r="P302" s="334">
        <v>5</v>
      </c>
      <c r="Q302" s="334">
        <v>-0.1</v>
      </c>
      <c r="R302" s="398">
        <f t="shared" si="40"/>
        <v>4.9</v>
      </c>
      <c r="S302" s="169"/>
      <c r="T302" s="36"/>
    </row>
    <row r="303" spans="1:20" ht="16.5" thickBot="1">
      <c r="A303" s="232">
        <v>5</v>
      </c>
      <c r="B303" s="287" t="s">
        <v>160</v>
      </c>
      <c r="C303" s="344">
        <v>102.16999999999999</v>
      </c>
      <c r="D303" s="304">
        <v>17.18</v>
      </c>
      <c r="E303" s="309">
        <f t="shared" si="38"/>
        <v>0.1681511206812176</v>
      </c>
      <c r="F303" s="44"/>
      <c r="G303" s="177"/>
      <c r="H303" s="168"/>
      <c r="I303" s="168"/>
      <c r="J303" s="80"/>
      <c r="K303" s="80"/>
      <c r="L303" s="334">
        <v>64.94</v>
      </c>
      <c r="M303" s="334">
        <v>37.23</v>
      </c>
      <c r="N303" s="398">
        <f t="shared" si="39"/>
        <v>102.16999999999999</v>
      </c>
      <c r="O303" s="19"/>
      <c r="P303" s="334">
        <v>17.5</v>
      </c>
      <c r="Q303" s="334">
        <v>-0.32</v>
      </c>
      <c r="R303" s="398">
        <f t="shared" si="40"/>
        <v>17.18</v>
      </c>
      <c r="S303" s="169"/>
      <c r="T303" s="36"/>
    </row>
    <row r="304" spans="1:20" ht="16.5" thickBot="1">
      <c r="A304" s="232">
        <v>6</v>
      </c>
      <c r="B304" s="287" t="s">
        <v>161</v>
      </c>
      <c r="C304" s="344">
        <v>230.20999999999998</v>
      </c>
      <c r="D304" s="304">
        <v>39.25</v>
      </c>
      <c r="E304" s="309">
        <f t="shared" si="38"/>
        <v>0.17049650319273707</v>
      </c>
      <c r="F304" s="44"/>
      <c r="G304" s="177"/>
      <c r="H304" s="168"/>
      <c r="I304" s="168"/>
      <c r="J304" s="80"/>
      <c r="K304" s="80"/>
      <c r="L304" s="334">
        <v>165.67</v>
      </c>
      <c r="M304" s="334">
        <v>64.54</v>
      </c>
      <c r="N304" s="398">
        <f t="shared" si="39"/>
        <v>230.20999999999998</v>
      </c>
      <c r="O304" s="19"/>
      <c r="P304" s="334">
        <v>39.79</v>
      </c>
      <c r="Q304" s="334">
        <v>-0.54</v>
      </c>
      <c r="R304" s="398">
        <f t="shared" si="40"/>
        <v>39.25</v>
      </c>
      <c r="S304" s="169"/>
      <c r="T304" s="36"/>
    </row>
    <row r="305" spans="1:20" ht="16.5" thickBot="1">
      <c r="A305" s="232">
        <v>7</v>
      </c>
      <c r="B305" s="287" t="s">
        <v>162</v>
      </c>
      <c r="C305" s="344">
        <v>94.08</v>
      </c>
      <c r="D305" s="304">
        <v>14.76</v>
      </c>
      <c r="E305" s="309">
        <f t="shared" si="38"/>
        <v>0.1568877551020408</v>
      </c>
      <c r="F305" s="44"/>
      <c r="G305" s="177"/>
      <c r="H305" s="168"/>
      <c r="I305" s="168"/>
      <c r="J305" s="80"/>
      <c r="K305" s="80"/>
      <c r="L305" s="334">
        <v>67.71</v>
      </c>
      <c r="M305" s="334">
        <v>26.37</v>
      </c>
      <c r="N305" s="398">
        <f t="shared" si="39"/>
        <v>94.08</v>
      </c>
      <c r="O305" s="19"/>
      <c r="P305" s="334">
        <v>15</v>
      </c>
      <c r="Q305" s="334">
        <v>-0.24</v>
      </c>
      <c r="R305" s="398">
        <f t="shared" si="40"/>
        <v>14.76</v>
      </c>
      <c r="S305" s="169"/>
      <c r="T305" s="36"/>
    </row>
    <row r="306" spans="1:20" ht="16.5" thickBot="1">
      <c r="A306" s="232">
        <v>8</v>
      </c>
      <c r="B306" s="287" t="s">
        <v>163</v>
      </c>
      <c r="C306" s="344">
        <v>118.66</v>
      </c>
      <c r="D306" s="304">
        <v>19.549999999999997</v>
      </c>
      <c r="E306" s="309">
        <f t="shared" si="38"/>
        <v>0.164756446991404</v>
      </c>
      <c r="F306" s="44"/>
      <c r="G306" s="177"/>
      <c r="H306" s="168"/>
      <c r="I306" s="168"/>
      <c r="J306" s="80"/>
      <c r="K306" s="80"/>
      <c r="L306" s="334">
        <v>66.54</v>
      </c>
      <c r="M306" s="334">
        <v>52.12</v>
      </c>
      <c r="N306" s="398">
        <f t="shared" si="39"/>
        <v>118.66</v>
      </c>
      <c r="O306" s="19"/>
      <c r="P306" s="334">
        <v>19.99</v>
      </c>
      <c r="Q306" s="334">
        <v>-0.44</v>
      </c>
      <c r="R306" s="398">
        <f t="shared" si="40"/>
        <v>19.549999999999997</v>
      </c>
      <c r="S306" s="169"/>
      <c r="T306" s="36"/>
    </row>
    <row r="307" spans="1:20" ht="16.5" thickBot="1">
      <c r="A307" s="232">
        <v>9</v>
      </c>
      <c r="B307" s="287" t="s">
        <v>164</v>
      </c>
      <c r="C307" s="344">
        <v>171.61</v>
      </c>
      <c r="D307" s="304">
        <v>22.029999999999998</v>
      </c>
      <c r="E307" s="309">
        <f t="shared" si="38"/>
        <v>0.12837247246663944</v>
      </c>
      <c r="F307" s="44"/>
      <c r="G307" s="177"/>
      <c r="H307" s="168"/>
      <c r="I307" s="168"/>
      <c r="J307" s="80"/>
      <c r="K307" s="80"/>
      <c r="L307" s="334">
        <v>117.03</v>
      </c>
      <c r="M307" s="334">
        <v>54.58</v>
      </c>
      <c r="N307" s="398">
        <f t="shared" si="39"/>
        <v>171.61</v>
      </c>
      <c r="O307" s="19"/>
      <c r="P307" s="334">
        <v>22.49</v>
      </c>
      <c r="Q307" s="334">
        <v>-0.46</v>
      </c>
      <c r="R307" s="398">
        <f t="shared" si="40"/>
        <v>22.029999999999998</v>
      </c>
      <c r="S307" s="169"/>
      <c r="T307" s="36"/>
    </row>
    <row r="308" spans="1:20" ht="16.5" thickBot="1">
      <c r="A308" s="232">
        <v>10</v>
      </c>
      <c r="B308" s="287" t="s">
        <v>165</v>
      </c>
      <c r="C308" s="344">
        <v>58.19</v>
      </c>
      <c r="D308" s="304">
        <v>7.32</v>
      </c>
      <c r="E308" s="309">
        <f t="shared" si="38"/>
        <v>0.125794810104829</v>
      </c>
      <c r="F308" s="44"/>
      <c r="G308" s="177"/>
      <c r="H308" s="168"/>
      <c r="I308" s="168"/>
      <c r="J308" s="80"/>
      <c r="K308" s="80"/>
      <c r="L308" s="334">
        <v>39.23</v>
      </c>
      <c r="M308" s="334">
        <v>18.96</v>
      </c>
      <c r="N308" s="398">
        <f t="shared" si="39"/>
        <v>58.19</v>
      </c>
      <c r="O308" s="19"/>
      <c r="P308" s="334">
        <v>7.5</v>
      </c>
      <c r="Q308" s="334">
        <v>-0.18</v>
      </c>
      <c r="R308" s="398">
        <f t="shared" si="40"/>
        <v>7.32</v>
      </c>
      <c r="S308" s="169"/>
      <c r="T308" s="36"/>
    </row>
    <row r="309" spans="1:20" ht="16.5" thickBot="1">
      <c r="A309" s="296">
        <v>11</v>
      </c>
      <c r="B309" s="297" t="s">
        <v>166</v>
      </c>
      <c r="C309" s="345">
        <v>97.76</v>
      </c>
      <c r="D309" s="304">
        <v>19.73</v>
      </c>
      <c r="E309" s="310">
        <f t="shared" si="38"/>
        <v>0.20182078559738134</v>
      </c>
      <c r="F309" s="44"/>
      <c r="G309" s="177"/>
      <c r="H309" s="168"/>
      <c r="I309" s="168"/>
      <c r="J309" s="80"/>
      <c r="K309" s="80"/>
      <c r="L309" s="334">
        <v>72.29</v>
      </c>
      <c r="M309" s="334">
        <v>25.47</v>
      </c>
      <c r="N309" s="398">
        <f t="shared" si="39"/>
        <v>97.76</v>
      </c>
      <c r="O309" s="19"/>
      <c r="P309" s="334">
        <v>19.96</v>
      </c>
      <c r="Q309" s="334">
        <v>-0.23</v>
      </c>
      <c r="R309" s="398">
        <f t="shared" si="40"/>
        <v>19.73</v>
      </c>
      <c r="S309" s="169"/>
      <c r="T309" s="36"/>
    </row>
    <row r="310" spans="1:18" ht="15.75" thickBot="1">
      <c r="A310" s="306"/>
      <c r="B310" s="307" t="s">
        <v>20</v>
      </c>
      <c r="C310" s="349">
        <v>1451.61</v>
      </c>
      <c r="D310" s="452">
        <v>245.64</v>
      </c>
      <c r="E310" s="311">
        <f t="shared" si="38"/>
        <v>0.16921900510467688</v>
      </c>
      <c r="F310" s="165"/>
      <c r="G310" s="165"/>
      <c r="H310" s="165"/>
      <c r="I310" s="26"/>
      <c r="J310" s="271"/>
      <c r="K310" s="271"/>
      <c r="L310" s="228">
        <v>987.9899999999999</v>
      </c>
      <c r="M310" s="228">
        <v>463.62</v>
      </c>
      <c r="N310" s="228">
        <f>SUM(N299:N309)</f>
        <v>1451.61</v>
      </c>
      <c r="O310" s="20"/>
      <c r="P310" s="228">
        <v>249.7</v>
      </c>
      <c r="Q310" s="228">
        <v>-4.08</v>
      </c>
      <c r="R310" s="228">
        <f>SUM(R299:R309)</f>
        <v>245.64</v>
      </c>
    </row>
    <row r="311" spans="1:15" s="39" customFormat="1" ht="15.75">
      <c r="A311" s="170"/>
      <c r="B311" s="1"/>
      <c r="C311" s="1"/>
      <c r="D311" s="170"/>
      <c r="E311" s="9"/>
      <c r="F311" s="1"/>
      <c r="G311" s="40"/>
      <c r="H311" s="38"/>
      <c r="I311" s="38"/>
      <c r="J311" s="38"/>
      <c r="K311" s="38"/>
      <c r="L311" s="38"/>
      <c r="M311" s="38"/>
      <c r="N311" s="37"/>
      <c r="O311" s="37"/>
    </row>
    <row r="312" spans="1:7" ht="15.75">
      <c r="A312" s="227" t="s">
        <v>242</v>
      </c>
      <c r="B312" s="227"/>
      <c r="C312" s="38"/>
      <c r="D312" s="173"/>
      <c r="E312" s="200"/>
      <c r="F312" s="37"/>
      <c r="G312" s="77"/>
    </row>
    <row r="313" spans="1:5" ht="15">
      <c r="A313" s="662" t="s">
        <v>241</v>
      </c>
      <c r="B313" s="662"/>
      <c r="C313" s="20"/>
      <c r="D313" s="174"/>
      <c r="E313" s="201" t="s">
        <v>28</v>
      </c>
    </row>
    <row r="314" spans="1:18" ht="47.25" customHeight="1" thickBot="1">
      <c r="A314" s="312" t="s">
        <v>9</v>
      </c>
      <c r="B314" s="312" t="s">
        <v>10</v>
      </c>
      <c r="C314" s="312" t="str">
        <f>C298</f>
        <v>Allocation for 2018-19                       </v>
      </c>
      <c r="D314" s="312" t="s">
        <v>275</v>
      </c>
      <c r="E314" s="663" t="s">
        <v>272</v>
      </c>
      <c r="L314" s="723" t="s">
        <v>192</v>
      </c>
      <c r="M314" s="723"/>
      <c r="N314" s="723"/>
      <c r="P314" s="723" t="s">
        <v>204</v>
      </c>
      <c r="Q314" s="723"/>
      <c r="R314" s="723"/>
    </row>
    <row r="315" spans="1:18" ht="16.5" thickBot="1">
      <c r="A315" s="294">
        <v>1</v>
      </c>
      <c r="B315" s="295" t="s">
        <v>156</v>
      </c>
      <c r="C315" s="343">
        <v>405.22</v>
      </c>
      <c r="D315" s="304">
        <v>-8.110000000000042</v>
      </c>
      <c r="E315" s="314">
        <f>D315/C315</f>
        <v>-0.020013819653521645</v>
      </c>
      <c r="L315" s="334">
        <v>199.42</v>
      </c>
      <c r="M315" s="334">
        <v>129.22</v>
      </c>
      <c r="N315" s="398">
        <f>SUM(L315:M315)</f>
        <v>328.64</v>
      </c>
      <c r="P315" s="36">
        <v>6.0499999999999545</v>
      </c>
      <c r="Q315" s="36">
        <v>-14.159999999999997</v>
      </c>
      <c r="R315" s="36">
        <f>P315+Q315</f>
        <v>-8.110000000000042</v>
      </c>
    </row>
    <row r="316" spans="1:18" ht="16.5" thickBot="1">
      <c r="A316" s="232">
        <v>2</v>
      </c>
      <c r="B316" s="287" t="s">
        <v>157</v>
      </c>
      <c r="C316" s="344">
        <v>41.52</v>
      </c>
      <c r="D316" s="304">
        <v>1.1000000000000023</v>
      </c>
      <c r="E316" s="288">
        <f aca="true" t="shared" si="41" ref="E316:E326">D316/C316</f>
        <v>0.026493256262042443</v>
      </c>
      <c r="L316" s="334">
        <v>27.17</v>
      </c>
      <c r="M316" s="334">
        <v>7.58</v>
      </c>
      <c r="N316" s="398">
        <f aca="true" t="shared" si="42" ref="N316:N325">SUM(L316:M316)</f>
        <v>34.75</v>
      </c>
      <c r="P316" s="36">
        <v>0.8500000000000014</v>
      </c>
      <c r="Q316" s="36">
        <v>0.2500000000000009</v>
      </c>
      <c r="R316" s="36">
        <f aca="true" t="shared" si="43" ref="R316:R326">P316+Q316</f>
        <v>1.1000000000000023</v>
      </c>
    </row>
    <row r="317" spans="1:18" ht="16.5" thickBot="1">
      <c r="A317" s="232">
        <v>3</v>
      </c>
      <c r="B317" s="287" t="s">
        <v>158</v>
      </c>
      <c r="C317" s="344">
        <v>105.95</v>
      </c>
      <c r="D317" s="304">
        <v>1.7900000000000063</v>
      </c>
      <c r="E317" s="288">
        <f t="shared" si="41"/>
        <v>0.016894761680037812</v>
      </c>
      <c r="L317" s="334">
        <v>44.81</v>
      </c>
      <c r="M317" s="334">
        <v>46.49</v>
      </c>
      <c r="N317" s="398">
        <f t="shared" si="42"/>
        <v>91.30000000000001</v>
      </c>
      <c r="P317" s="36">
        <v>0.23000000000000398</v>
      </c>
      <c r="Q317" s="36">
        <v>1.5600000000000023</v>
      </c>
      <c r="R317" s="36">
        <f t="shared" si="43"/>
        <v>1.7900000000000063</v>
      </c>
    </row>
    <row r="318" spans="1:18" ht="16.5" thickBot="1">
      <c r="A318" s="232">
        <v>4</v>
      </c>
      <c r="B318" s="287" t="s">
        <v>159</v>
      </c>
      <c r="C318" s="344">
        <v>26.24</v>
      </c>
      <c r="D318" s="304">
        <v>-1.7100000000000009</v>
      </c>
      <c r="E318" s="288">
        <f t="shared" si="41"/>
        <v>-0.0651676829268293</v>
      </c>
      <c r="L318" s="334">
        <v>12.66</v>
      </c>
      <c r="M318" s="334">
        <v>12.24</v>
      </c>
      <c r="N318" s="398">
        <f t="shared" si="42"/>
        <v>24.9</v>
      </c>
      <c r="P318" s="36">
        <v>-2.120000000000001</v>
      </c>
      <c r="Q318" s="36">
        <v>0.41000000000000014</v>
      </c>
      <c r="R318" s="36">
        <f t="shared" si="43"/>
        <v>-1.7100000000000009</v>
      </c>
    </row>
    <row r="319" spans="1:18" ht="16.5" thickBot="1">
      <c r="A319" s="232">
        <v>5</v>
      </c>
      <c r="B319" s="287" t="s">
        <v>160</v>
      </c>
      <c r="C319" s="344">
        <v>102.16999999999999</v>
      </c>
      <c r="D319" s="304">
        <v>0.9299999999999926</v>
      </c>
      <c r="E319" s="288">
        <f t="shared" si="41"/>
        <v>0.009102476265048377</v>
      </c>
      <c r="L319" s="334">
        <v>46.73</v>
      </c>
      <c r="M319" s="334">
        <v>40.15</v>
      </c>
      <c r="N319" s="398">
        <f t="shared" si="42"/>
        <v>86.88</v>
      </c>
      <c r="P319" s="36">
        <v>-0.4300000000000068</v>
      </c>
      <c r="Q319" s="36">
        <v>1.3599999999999994</v>
      </c>
      <c r="R319" s="36">
        <f t="shared" si="43"/>
        <v>0.9299999999999926</v>
      </c>
    </row>
    <row r="320" spans="1:18" ht="16.5" thickBot="1">
      <c r="A320" s="232">
        <v>6</v>
      </c>
      <c r="B320" s="287" t="s">
        <v>161</v>
      </c>
      <c r="C320" s="344">
        <v>230.20999999999998</v>
      </c>
      <c r="D320" s="304">
        <v>1.1199999999999974</v>
      </c>
      <c r="E320" s="288">
        <f t="shared" si="41"/>
        <v>0.004865123148429684</v>
      </c>
      <c r="L320" s="334">
        <v>119.27</v>
      </c>
      <c r="M320" s="334">
        <v>66.75</v>
      </c>
      <c r="N320" s="398">
        <f t="shared" si="42"/>
        <v>186.01999999999998</v>
      </c>
      <c r="P320" s="36">
        <v>-1.1299999999999955</v>
      </c>
      <c r="Q320" s="36">
        <v>2.249999999999993</v>
      </c>
      <c r="R320" s="36">
        <f t="shared" si="43"/>
        <v>1.1199999999999974</v>
      </c>
    </row>
    <row r="321" spans="1:18" ht="16.5" thickBot="1">
      <c r="A321" s="232">
        <v>7</v>
      </c>
      <c r="B321" s="287" t="s">
        <v>162</v>
      </c>
      <c r="C321" s="344">
        <v>94.08</v>
      </c>
      <c r="D321" s="304">
        <v>-2.5599999999999987</v>
      </c>
      <c r="E321" s="288">
        <f t="shared" si="41"/>
        <v>-0.027210884353741485</v>
      </c>
      <c r="L321" s="334">
        <v>48.72</v>
      </c>
      <c r="M321" s="334">
        <v>29.57</v>
      </c>
      <c r="N321" s="398">
        <f t="shared" si="42"/>
        <v>78.28999999999999</v>
      </c>
      <c r="P321" s="36">
        <v>-3.5600000000000023</v>
      </c>
      <c r="Q321" s="36">
        <v>1.0000000000000036</v>
      </c>
      <c r="R321" s="36">
        <f t="shared" si="43"/>
        <v>-2.5599999999999987</v>
      </c>
    </row>
    <row r="322" spans="1:18" ht="16.5" thickBot="1">
      <c r="A322" s="232">
        <v>8</v>
      </c>
      <c r="B322" s="287" t="s">
        <v>163</v>
      </c>
      <c r="C322" s="344">
        <v>118.66</v>
      </c>
      <c r="D322" s="304">
        <v>3.519999999999989</v>
      </c>
      <c r="E322" s="288">
        <f t="shared" si="41"/>
        <v>0.029664587898196437</v>
      </c>
      <c r="L322" s="334">
        <v>47.86</v>
      </c>
      <c r="M322" s="334">
        <v>54.69</v>
      </c>
      <c r="N322" s="398">
        <f t="shared" si="42"/>
        <v>102.55</v>
      </c>
      <c r="P322" s="36">
        <v>1.6699999999999875</v>
      </c>
      <c r="Q322" s="36">
        <v>1.8500000000000014</v>
      </c>
      <c r="R322" s="36">
        <f t="shared" si="43"/>
        <v>3.519999999999989</v>
      </c>
    </row>
    <row r="323" spans="1:18" ht="16.5" thickBot="1">
      <c r="A323" s="232">
        <v>9</v>
      </c>
      <c r="B323" s="287" t="s">
        <v>164</v>
      </c>
      <c r="C323" s="344">
        <v>171.61</v>
      </c>
      <c r="D323" s="304">
        <v>-5.3600000000000065</v>
      </c>
      <c r="E323" s="288">
        <f t="shared" si="41"/>
        <v>-0.031233611094924573</v>
      </c>
      <c r="L323" s="334">
        <v>84.28</v>
      </c>
      <c r="M323" s="334">
        <v>57.05</v>
      </c>
      <c r="N323" s="398">
        <f t="shared" si="42"/>
        <v>141.32999999999998</v>
      </c>
      <c r="P323" s="36">
        <v>-7.290000000000006</v>
      </c>
      <c r="Q323" s="36">
        <v>1.9299999999999997</v>
      </c>
      <c r="R323" s="36">
        <f t="shared" si="43"/>
        <v>-5.3600000000000065</v>
      </c>
    </row>
    <row r="324" spans="1:18" ht="16.5" thickBot="1">
      <c r="A324" s="232">
        <v>10</v>
      </c>
      <c r="B324" s="287" t="s">
        <v>165</v>
      </c>
      <c r="C324" s="344">
        <v>58.19</v>
      </c>
      <c r="D324" s="304">
        <v>-3.7900000000000063</v>
      </c>
      <c r="E324" s="288">
        <f t="shared" si="41"/>
        <v>-0.06513146588760967</v>
      </c>
      <c r="L324" s="334">
        <v>28.24</v>
      </c>
      <c r="M324" s="334">
        <v>22.35</v>
      </c>
      <c r="N324" s="398">
        <f t="shared" si="42"/>
        <v>50.59</v>
      </c>
      <c r="P324" s="36">
        <v>-4.540000000000006</v>
      </c>
      <c r="Q324" s="36">
        <v>0.75</v>
      </c>
      <c r="R324" s="36">
        <f t="shared" si="43"/>
        <v>-3.7900000000000063</v>
      </c>
    </row>
    <row r="325" spans="1:18" ht="16.5" thickBot="1">
      <c r="A325" s="296">
        <v>11</v>
      </c>
      <c r="B325" s="297" t="s">
        <v>166</v>
      </c>
      <c r="C325" s="345">
        <v>97.76</v>
      </c>
      <c r="D325" s="304">
        <v>14.369999999999994</v>
      </c>
      <c r="E325" s="288">
        <f t="shared" si="41"/>
        <v>0.14699263502454984</v>
      </c>
      <c r="L325" s="334">
        <v>52.05</v>
      </c>
      <c r="M325" s="334">
        <v>28.69</v>
      </c>
      <c r="N325" s="398">
        <f t="shared" si="42"/>
        <v>80.74</v>
      </c>
      <c r="P325" s="36">
        <v>13.389999999999993</v>
      </c>
      <c r="Q325" s="36">
        <v>0.9800000000000004</v>
      </c>
      <c r="R325" s="36">
        <f t="shared" si="43"/>
        <v>14.369999999999994</v>
      </c>
    </row>
    <row r="326" spans="1:18" ht="16.5" thickBot="1">
      <c r="A326" s="290"/>
      <c r="B326" s="313" t="s">
        <v>20</v>
      </c>
      <c r="C326" s="357">
        <v>1451.61</v>
      </c>
      <c r="D326" s="452">
        <v>1.299999999999926</v>
      </c>
      <c r="E326" s="315">
        <f t="shared" si="41"/>
        <v>0.000895557346670198</v>
      </c>
      <c r="L326" s="228">
        <v>711.2099999999999</v>
      </c>
      <c r="M326" s="228">
        <v>494.7800000000001</v>
      </c>
      <c r="N326" s="228">
        <f>SUM(N315:N325)</f>
        <v>1205.9899999999998</v>
      </c>
      <c r="P326" s="36">
        <v>3.119999999999923</v>
      </c>
      <c r="Q326" s="36">
        <v>-1.8199999999999967</v>
      </c>
      <c r="R326" s="36">
        <f t="shared" si="43"/>
        <v>1.299999999999926</v>
      </c>
    </row>
    <row r="327" spans="7:14" ht="15">
      <c r="G327" s="26"/>
      <c r="L327" s="36">
        <v>293.15999999999997</v>
      </c>
      <c r="N327" s="36"/>
    </row>
    <row r="328" spans="1:12" s="234" customFormat="1" ht="15.75" customHeight="1">
      <c r="A328" s="234" t="s">
        <v>181</v>
      </c>
      <c r="L328" s="234">
        <v>1115.0099999999998</v>
      </c>
    </row>
    <row r="329" spans="1:14" ht="27">
      <c r="A329" s="10" t="s">
        <v>13</v>
      </c>
      <c r="B329" s="10" t="s">
        <v>246</v>
      </c>
      <c r="C329" s="10" t="s">
        <v>29</v>
      </c>
      <c r="D329" s="28" t="s">
        <v>30</v>
      </c>
      <c r="E329" s="208" t="s">
        <v>31</v>
      </c>
      <c r="F329" s="10" t="s">
        <v>16</v>
      </c>
      <c r="G329" s="78"/>
      <c r="N329" s="36"/>
    </row>
    <row r="330" spans="1:14" ht="15.75">
      <c r="A330" s="664">
        <f>C326</f>
        <v>1451.61</v>
      </c>
      <c r="B330" s="86">
        <f>D310</f>
        <v>245.64</v>
      </c>
      <c r="C330" s="23">
        <f>E346</f>
        <v>1205.9899999999998</v>
      </c>
      <c r="D330" s="34">
        <f>B330+C330</f>
        <v>1451.6299999999997</v>
      </c>
      <c r="E330" s="94">
        <f>D330/A330</f>
        <v>1.0000137778053333</v>
      </c>
      <c r="F330" s="34">
        <f>A330*85/100</f>
        <v>1233.8684999999998</v>
      </c>
      <c r="G330" s="26"/>
      <c r="N330" s="36"/>
    </row>
    <row r="331" spans="1:14" ht="15">
      <c r="A331" s="123"/>
      <c r="B331" s="665"/>
      <c r="C331" s="666"/>
      <c r="D331" s="24"/>
      <c r="E331" s="667"/>
      <c r="F331" s="30"/>
      <c r="N331" s="36"/>
    </row>
    <row r="332" spans="1:14" ht="15.75">
      <c r="A332" s="227" t="s">
        <v>182</v>
      </c>
      <c r="B332" s="227"/>
      <c r="C332" s="38"/>
      <c r="D332" s="173"/>
      <c r="E332" s="200"/>
      <c r="F332" s="37"/>
      <c r="G332" s="76"/>
      <c r="N332" s="36"/>
    </row>
    <row r="333" spans="1:14" ht="15.75" thickBot="1">
      <c r="A333" s="660" t="s">
        <v>241</v>
      </c>
      <c r="B333" s="660"/>
      <c r="C333" s="20"/>
      <c r="D333" s="174"/>
      <c r="E333" s="201"/>
      <c r="F333" s="20"/>
      <c r="G333" s="26" t="s">
        <v>28</v>
      </c>
      <c r="N333" s="36"/>
    </row>
    <row r="334" spans="1:15" ht="66.75" customHeight="1" thickBot="1">
      <c r="A334" s="291" t="s">
        <v>9</v>
      </c>
      <c r="B334" s="292" t="s">
        <v>10</v>
      </c>
      <c r="C334" s="140" t="s">
        <v>277</v>
      </c>
      <c r="D334" s="292" t="s">
        <v>247</v>
      </c>
      <c r="E334" s="293" t="s">
        <v>72</v>
      </c>
      <c r="F334" s="292" t="s">
        <v>278</v>
      </c>
      <c r="G334" s="316" t="s">
        <v>32</v>
      </c>
      <c r="M334" s="723" t="s">
        <v>193</v>
      </c>
      <c r="N334" s="723"/>
      <c r="O334" s="723"/>
    </row>
    <row r="335" spans="1:15" ht="15.75">
      <c r="A335" s="294">
        <v>1</v>
      </c>
      <c r="B335" s="295" t="s">
        <v>156</v>
      </c>
      <c r="C335" s="343">
        <v>405.22</v>
      </c>
      <c r="D335" s="304">
        <v>71.36</v>
      </c>
      <c r="E335" s="343">
        <v>328.64</v>
      </c>
      <c r="F335" s="434">
        <f>D335+E335</f>
        <v>400</v>
      </c>
      <c r="G335" s="314">
        <f aca="true" t="shared" si="44" ref="G335:G346">F335/C335</f>
        <v>0.9871181086817037</v>
      </c>
      <c r="I335" s="36">
        <v>302.88</v>
      </c>
      <c r="J335" s="272">
        <v>159.32184490705998</v>
      </c>
      <c r="K335" s="273"/>
      <c r="M335" s="334">
        <v>295.15000000000003</v>
      </c>
      <c r="N335" s="334">
        <v>158.12</v>
      </c>
      <c r="O335" s="398">
        <f>SUM(M335:N335)</f>
        <v>453.27000000000004</v>
      </c>
    </row>
    <row r="336" spans="1:15" ht="15.75">
      <c r="A336" s="232">
        <v>2</v>
      </c>
      <c r="B336" s="287" t="s">
        <v>157</v>
      </c>
      <c r="C336" s="344">
        <v>41.52</v>
      </c>
      <c r="D336" s="270">
        <v>12.44</v>
      </c>
      <c r="E336" s="344">
        <v>34.75</v>
      </c>
      <c r="F336" s="435">
        <f aca="true" t="shared" si="45" ref="F336:F345">D336+E336</f>
        <v>47.19</v>
      </c>
      <c r="G336" s="288">
        <f t="shared" si="44"/>
        <v>1.1365606936416184</v>
      </c>
      <c r="I336" s="36">
        <v>140.85999999999999</v>
      </c>
      <c r="J336" s="272">
        <v>68.18971223019832</v>
      </c>
      <c r="K336" s="273"/>
      <c r="M336" s="334">
        <v>43.1</v>
      </c>
      <c r="N336" s="334">
        <v>8.08</v>
      </c>
      <c r="O336" s="398">
        <f aca="true" t="shared" si="46" ref="O336:O345">SUM(M336:N336)</f>
        <v>51.18</v>
      </c>
    </row>
    <row r="337" spans="1:15" ht="15.75">
      <c r="A337" s="232">
        <v>3</v>
      </c>
      <c r="B337" s="287" t="s">
        <v>158</v>
      </c>
      <c r="C337" s="344">
        <v>105.95</v>
      </c>
      <c r="D337" s="270">
        <v>17.12</v>
      </c>
      <c r="E337" s="344">
        <v>91.30000000000001</v>
      </c>
      <c r="F337" s="435">
        <f t="shared" si="45"/>
        <v>108.42000000000002</v>
      </c>
      <c r="G337" s="288">
        <f t="shared" si="44"/>
        <v>1.023312883435583</v>
      </c>
      <c r="I337" s="36">
        <v>253.09</v>
      </c>
      <c r="J337" s="272">
        <v>135.43208798247363</v>
      </c>
      <c r="K337" s="273"/>
      <c r="M337" s="334">
        <v>68.92</v>
      </c>
      <c r="N337" s="334">
        <v>49.519999999999996</v>
      </c>
      <c r="O337" s="398">
        <f t="shared" si="46"/>
        <v>118.44</v>
      </c>
    </row>
    <row r="338" spans="1:15" ht="15.75">
      <c r="A338" s="232">
        <v>4</v>
      </c>
      <c r="B338" s="287" t="s">
        <v>159</v>
      </c>
      <c r="C338" s="344">
        <v>26.24</v>
      </c>
      <c r="D338" s="270">
        <v>4.9</v>
      </c>
      <c r="E338" s="344">
        <v>24.9</v>
      </c>
      <c r="F338" s="435">
        <f t="shared" si="45"/>
        <v>29.799999999999997</v>
      </c>
      <c r="G338" s="288">
        <f t="shared" si="44"/>
        <v>1.1356707317073171</v>
      </c>
      <c r="I338" s="36">
        <v>193.64000000000001</v>
      </c>
      <c r="J338" s="272">
        <v>99.79781850840723</v>
      </c>
      <c r="K338" s="273"/>
      <c r="M338" s="334">
        <v>21.96</v>
      </c>
      <c r="N338" s="334">
        <v>13.040000000000001</v>
      </c>
      <c r="O338" s="398">
        <f t="shared" si="46"/>
        <v>35</v>
      </c>
    </row>
    <row r="339" spans="1:15" ht="15.75">
      <c r="A339" s="232">
        <v>5</v>
      </c>
      <c r="B339" s="287" t="s">
        <v>160</v>
      </c>
      <c r="C339" s="344">
        <v>102.16999999999999</v>
      </c>
      <c r="D339" s="270">
        <v>17.18</v>
      </c>
      <c r="E339" s="344">
        <v>86.88</v>
      </c>
      <c r="F339" s="435">
        <f t="shared" si="45"/>
        <v>104.06</v>
      </c>
      <c r="G339" s="288">
        <f t="shared" si="44"/>
        <v>1.0184985807967115</v>
      </c>
      <c r="I339" s="36">
        <v>166.32</v>
      </c>
      <c r="J339" s="272">
        <v>82.77012930682845</v>
      </c>
      <c r="K339" s="273"/>
      <c r="M339" s="334">
        <v>71.78999999999999</v>
      </c>
      <c r="N339" s="334">
        <v>42.76</v>
      </c>
      <c r="O339" s="398">
        <f t="shared" si="46"/>
        <v>114.54999999999998</v>
      </c>
    </row>
    <row r="340" spans="1:15" ht="15.75">
      <c r="A340" s="232">
        <v>6</v>
      </c>
      <c r="B340" s="287" t="s">
        <v>161</v>
      </c>
      <c r="C340" s="344">
        <v>230.20999999999998</v>
      </c>
      <c r="D340" s="270">
        <v>39.25</v>
      </c>
      <c r="E340" s="344">
        <v>186.01999999999998</v>
      </c>
      <c r="F340" s="435">
        <f t="shared" si="45"/>
        <v>225.26999999999998</v>
      </c>
      <c r="G340" s="288">
        <f t="shared" si="44"/>
        <v>0.9785413318274618</v>
      </c>
      <c r="I340" s="36">
        <v>319.84</v>
      </c>
      <c r="J340" s="272">
        <v>244.08378816513982</v>
      </c>
      <c r="K340" s="273"/>
      <c r="M340" s="334">
        <v>177.85</v>
      </c>
      <c r="N340" s="334">
        <v>71.09</v>
      </c>
      <c r="O340" s="398">
        <f t="shared" si="46"/>
        <v>248.94</v>
      </c>
    </row>
    <row r="341" spans="1:15" ht="15.75">
      <c r="A341" s="232">
        <v>7</v>
      </c>
      <c r="B341" s="287" t="s">
        <v>162</v>
      </c>
      <c r="C341" s="344">
        <v>94.08</v>
      </c>
      <c r="D341" s="270">
        <v>14.76</v>
      </c>
      <c r="E341" s="344">
        <v>78.28999999999999</v>
      </c>
      <c r="F341" s="435">
        <f t="shared" si="45"/>
        <v>93.05</v>
      </c>
      <c r="G341" s="288">
        <f t="shared" si="44"/>
        <v>0.9890518707482993</v>
      </c>
      <c r="J341" s="272"/>
      <c r="K341" s="273"/>
      <c r="M341" s="334">
        <v>74.7</v>
      </c>
      <c r="N341" s="334">
        <v>31.49</v>
      </c>
      <c r="O341" s="398">
        <f t="shared" si="46"/>
        <v>106.19</v>
      </c>
    </row>
    <row r="342" spans="1:15" ht="15.75">
      <c r="A342" s="232">
        <v>8</v>
      </c>
      <c r="B342" s="287" t="s">
        <v>163</v>
      </c>
      <c r="C342" s="344">
        <v>118.66</v>
      </c>
      <c r="D342" s="270">
        <v>19.549999999999997</v>
      </c>
      <c r="E342" s="344">
        <v>102.55</v>
      </c>
      <c r="F342" s="435">
        <f t="shared" si="45"/>
        <v>122.1</v>
      </c>
      <c r="G342" s="288">
        <f t="shared" si="44"/>
        <v>1.028990392718692</v>
      </c>
      <c r="J342" s="272"/>
      <c r="K342" s="273"/>
      <c r="M342" s="334">
        <v>73.47000000000001</v>
      </c>
      <c r="N342" s="334">
        <v>58.239999999999995</v>
      </c>
      <c r="O342" s="398">
        <f t="shared" si="46"/>
        <v>131.71</v>
      </c>
    </row>
    <row r="343" spans="1:15" ht="15.75">
      <c r="A343" s="232">
        <v>9</v>
      </c>
      <c r="B343" s="287" t="s">
        <v>164</v>
      </c>
      <c r="C343" s="344">
        <v>171.61</v>
      </c>
      <c r="D343" s="270">
        <v>22.029999999999998</v>
      </c>
      <c r="E343" s="344">
        <v>141.32999999999998</v>
      </c>
      <c r="F343" s="435">
        <f t="shared" si="45"/>
        <v>163.35999999999999</v>
      </c>
      <c r="G343" s="288">
        <f t="shared" si="44"/>
        <v>0.9519258784453118</v>
      </c>
      <c r="J343" s="272"/>
      <c r="K343" s="273"/>
      <c r="M343" s="334">
        <v>126.63</v>
      </c>
      <c r="N343" s="334">
        <v>60.76</v>
      </c>
      <c r="O343" s="398">
        <f t="shared" si="46"/>
        <v>187.39</v>
      </c>
    </row>
    <row r="344" spans="1:15" ht="15.75">
      <c r="A344" s="232">
        <v>10</v>
      </c>
      <c r="B344" s="287" t="s">
        <v>165</v>
      </c>
      <c r="C344" s="344">
        <v>58.19</v>
      </c>
      <c r="D344" s="270">
        <v>7.32</v>
      </c>
      <c r="E344" s="344">
        <v>50.59</v>
      </c>
      <c r="F344" s="435">
        <f t="shared" si="45"/>
        <v>57.910000000000004</v>
      </c>
      <c r="G344" s="288">
        <f t="shared" si="44"/>
        <v>0.9951881766626569</v>
      </c>
      <c r="J344" s="272"/>
      <c r="K344" s="273"/>
      <c r="M344" s="334">
        <v>44.72</v>
      </c>
      <c r="N344" s="334">
        <v>23.810000000000002</v>
      </c>
      <c r="O344" s="398">
        <f t="shared" si="46"/>
        <v>68.53</v>
      </c>
    </row>
    <row r="345" spans="1:15" ht="16.5" thickBot="1">
      <c r="A345" s="296">
        <v>11</v>
      </c>
      <c r="B345" s="297" t="s">
        <v>166</v>
      </c>
      <c r="C345" s="345">
        <v>97.76</v>
      </c>
      <c r="D345" s="305">
        <v>19.73</v>
      </c>
      <c r="E345" s="345">
        <v>80.74</v>
      </c>
      <c r="F345" s="436">
        <f t="shared" si="45"/>
        <v>100.47</v>
      </c>
      <c r="G345" s="317">
        <f t="shared" si="44"/>
        <v>1.0277209492635024</v>
      </c>
      <c r="I345" s="36">
        <v>97.17</v>
      </c>
      <c r="J345" s="272">
        <v>60.57461889989255</v>
      </c>
      <c r="K345" s="273"/>
      <c r="M345" s="334">
        <v>65.07</v>
      </c>
      <c r="N345" s="334">
        <v>30.54</v>
      </c>
      <c r="O345" s="398">
        <f t="shared" si="46"/>
        <v>95.60999999999999</v>
      </c>
    </row>
    <row r="346" spans="1:15" ht="15.75" thickBot="1">
      <c r="A346" s="302"/>
      <c r="B346" s="303" t="s">
        <v>20</v>
      </c>
      <c r="C346" s="356">
        <v>1451.61</v>
      </c>
      <c r="D346" s="356">
        <v>245.64</v>
      </c>
      <c r="E346" s="356">
        <v>1205.9899999999998</v>
      </c>
      <c r="F346" s="356">
        <f>SUM(F335:F345)</f>
        <v>1451.6299999999999</v>
      </c>
      <c r="G346" s="318">
        <f t="shared" si="44"/>
        <v>1.0000137778053333</v>
      </c>
      <c r="I346" s="36">
        <f>SUM(I335:I345)</f>
        <v>1473.8</v>
      </c>
      <c r="J346" s="36">
        <f>SUM(J335:J345)</f>
        <v>850.1700000000001</v>
      </c>
      <c r="M346" s="228">
        <v>1063.36</v>
      </c>
      <c r="N346" s="228">
        <v>547.45</v>
      </c>
      <c r="O346" s="228">
        <f>SUM(O335:O345)</f>
        <v>1610.81</v>
      </c>
    </row>
    <row r="348" spans="1:16" ht="15.75">
      <c r="A348" s="358"/>
      <c r="B348" s="358"/>
      <c r="C348" s="26"/>
      <c r="D348" s="174"/>
      <c r="E348" s="201"/>
      <c r="F348" s="20"/>
      <c r="H348" s="107"/>
      <c r="K348" s="107"/>
      <c r="L348" s="107"/>
      <c r="N348" s="36"/>
      <c r="P348" s="36"/>
    </row>
    <row r="349" spans="1:16" ht="15.75">
      <c r="A349" s="751" t="s">
        <v>183</v>
      </c>
      <c r="B349" s="751"/>
      <c r="C349" s="26"/>
      <c r="D349" s="174"/>
      <c r="E349" s="201"/>
      <c r="F349" s="20"/>
      <c r="H349" s="107"/>
      <c r="K349" s="107"/>
      <c r="L349" s="107"/>
      <c r="N349" s="36"/>
      <c r="P349" s="36"/>
    </row>
    <row r="350" spans="1:16" ht="15">
      <c r="A350" s="174"/>
      <c r="B350" s="20"/>
      <c r="C350" s="26"/>
      <c r="D350" s="174"/>
      <c r="E350" s="201"/>
      <c r="F350" s="20"/>
      <c r="H350" s="107"/>
      <c r="K350" s="107"/>
      <c r="L350" s="107"/>
      <c r="N350" s="36"/>
      <c r="P350" s="36"/>
    </row>
    <row r="351" spans="1:16" ht="15">
      <c r="A351" s="35" t="s">
        <v>13</v>
      </c>
      <c r="B351" s="35" t="s">
        <v>33</v>
      </c>
      <c r="C351" s="35" t="s">
        <v>31</v>
      </c>
      <c r="D351" s="35" t="s">
        <v>22</v>
      </c>
      <c r="E351" s="184" t="s">
        <v>23</v>
      </c>
      <c r="H351" s="107"/>
      <c r="K351" s="107"/>
      <c r="L351" s="107"/>
      <c r="N351" s="36"/>
      <c r="P351" s="36"/>
    </row>
    <row r="352" spans="1:16" ht="15.75">
      <c r="A352" s="664">
        <f>C346</f>
        <v>1451.61</v>
      </c>
      <c r="B352" s="228">
        <f>F346</f>
        <v>1451.6299999999999</v>
      </c>
      <c r="C352" s="184">
        <f>B352/A352</f>
        <v>1.0000137778053333</v>
      </c>
      <c r="D352" s="228">
        <f>D368</f>
        <v>1450.3299999999997</v>
      </c>
      <c r="E352" s="108">
        <f>D352/A352</f>
        <v>0.999118220458663</v>
      </c>
      <c r="H352" s="107"/>
      <c r="K352" s="107"/>
      <c r="L352" s="107"/>
      <c r="N352" s="36"/>
      <c r="P352" s="36"/>
    </row>
    <row r="353" spans="1:16" ht="15">
      <c r="A353" s="193"/>
      <c r="B353" s="42"/>
      <c r="C353" s="41"/>
      <c r="D353" s="178"/>
      <c r="G353" s="26"/>
      <c r="H353" s="107"/>
      <c r="K353" s="107"/>
      <c r="L353" s="107"/>
      <c r="N353" s="36"/>
      <c r="P353" s="36"/>
    </row>
    <row r="354" spans="1:14" ht="15.75">
      <c r="A354" s="765" t="s">
        <v>184</v>
      </c>
      <c r="B354" s="765"/>
      <c r="C354" s="765"/>
      <c r="D354" s="765"/>
      <c r="E354" s="765"/>
      <c r="F354" s="39"/>
      <c r="G354" s="38"/>
      <c r="N354" s="36"/>
    </row>
    <row r="355" spans="1:14" ht="15.75" thickBot="1">
      <c r="A355" s="660" t="s">
        <v>241</v>
      </c>
      <c r="B355" s="660"/>
      <c r="C355" s="20"/>
      <c r="D355" s="174"/>
      <c r="E355" s="201" t="s">
        <v>28</v>
      </c>
      <c r="F355" s="20"/>
      <c r="N355" s="36"/>
    </row>
    <row r="356" spans="1:14" ht="45" customHeight="1" thickBot="1">
      <c r="A356" s="291" t="s">
        <v>9</v>
      </c>
      <c r="B356" s="292" t="s">
        <v>10</v>
      </c>
      <c r="C356" s="292" t="s">
        <v>257</v>
      </c>
      <c r="D356" s="292" t="s">
        <v>73</v>
      </c>
      <c r="E356" s="319" t="s">
        <v>34</v>
      </c>
      <c r="F356" s="20"/>
      <c r="M356" s="177"/>
      <c r="N356" s="36"/>
    </row>
    <row r="357" spans="1:15" ht="15.75">
      <c r="A357" s="294">
        <v>1</v>
      </c>
      <c r="B357" s="295" t="s">
        <v>156</v>
      </c>
      <c r="C357" s="343">
        <v>405.22</v>
      </c>
      <c r="D357" s="304">
        <v>408.11</v>
      </c>
      <c r="E357" s="314">
        <f>D357/C357</f>
        <v>1.0071319283352254</v>
      </c>
      <c r="F357" s="20"/>
      <c r="N357" s="36"/>
      <c r="O357" s="36"/>
    </row>
    <row r="358" spans="1:15" ht="18" customHeight="1">
      <c r="A358" s="232">
        <v>2</v>
      </c>
      <c r="B358" s="287" t="s">
        <v>157</v>
      </c>
      <c r="C358" s="344">
        <v>41.52</v>
      </c>
      <c r="D358" s="270">
        <v>46.09</v>
      </c>
      <c r="E358" s="288">
        <f aca="true" t="shared" si="47" ref="E358:E367">D358/C358</f>
        <v>1.110067437379576</v>
      </c>
      <c r="F358" s="20"/>
      <c r="J358" s="36" t="s">
        <v>129</v>
      </c>
      <c r="N358" s="36"/>
      <c r="O358" s="36"/>
    </row>
    <row r="359" spans="1:16" ht="15.75">
      <c r="A359" s="232">
        <v>3</v>
      </c>
      <c r="B359" s="287" t="s">
        <v>158</v>
      </c>
      <c r="C359" s="344">
        <v>105.95</v>
      </c>
      <c r="D359" s="270">
        <v>106.63</v>
      </c>
      <c r="E359" s="288">
        <f t="shared" si="47"/>
        <v>1.006418121755545</v>
      </c>
      <c r="F359" s="20"/>
      <c r="H359" s="107">
        <v>19820936</v>
      </c>
      <c r="I359" s="107">
        <v>10750361</v>
      </c>
      <c r="J359" s="107">
        <f>H359*2.92/100000</f>
        <v>578.7713312</v>
      </c>
      <c r="K359" s="107"/>
      <c r="L359" s="107"/>
      <c r="N359" s="36"/>
      <c r="O359" s="36"/>
      <c r="P359" s="36"/>
    </row>
    <row r="360" spans="1:16" ht="15.75">
      <c r="A360" s="232">
        <v>4</v>
      </c>
      <c r="B360" s="287" t="s">
        <v>159</v>
      </c>
      <c r="C360" s="344">
        <v>26.24</v>
      </c>
      <c r="D360" s="270">
        <v>31.51</v>
      </c>
      <c r="E360" s="288">
        <f t="shared" si="47"/>
        <v>1.2008384146341464</v>
      </c>
      <c r="F360" s="20"/>
      <c r="H360" s="107">
        <v>12517203</v>
      </c>
      <c r="I360" s="107">
        <v>5132882</v>
      </c>
      <c r="J360" s="107">
        <f>H360*2.92/100000</f>
        <v>365.5023276</v>
      </c>
      <c r="K360" s="107"/>
      <c r="L360" s="107"/>
      <c r="N360" s="36"/>
      <c r="O360" s="36"/>
      <c r="P360" s="36"/>
    </row>
    <row r="361" spans="1:16" ht="15.75">
      <c r="A361" s="232">
        <v>5</v>
      </c>
      <c r="B361" s="287" t="s">
        <v>160</v>
      </c>
      <c r="C361" s="344">
        <v>102.16999999999999</v>
      </c>
      <c r="D361" s="270">
        <v>103.13</v>
      </c>
      <c r="E361" s="288">
        <f t="shared" si="47"/>
        <v>1.009396104531663</v>
      </c>
      <c r="F361" s="20"/>
      <c r="H361" s="107"/>
      <c r="I361" s="107"/>
      <c r="J361" s="107"/>
      <c r="K361" s="107"/>
      <c r="L361" s="107"/>
      <c r="N361" s="36"/>
      <c r="O361" s="36"/>
      <c r="P361" s="36"/>
    </row>
    <row r="362" spans="1:16" ht="15.75">
      <c r="A362" s="232">
        <v>6</v>
      </c>
      <c r="B362" s="287" t="s">
        <v>161</v>
      </c>
      <c r="C362" s="344">
        <v>230.20999999999998</v>
      </c>
      <c r="D362" s="270">
        <v>224.15</v>
      </c>
      <c r="E362" s="288">
        <f t="shared" si="47"/>
        <v>0.9736762086790323</v>
      </c>
      <c r="F362" s="20"/>
      <c r="H362" s="107"/>
      <c r="I362" s="107"/>
      <c r="J362" s="107"/>
      <c r="K362" s="107"/>
      <c r="L362" s="107"/>
      <c r="N362" s="36"/>
      <c r="O362" s="36"/>
      <c r="P362" s="36"/>
    </row>
    <row r="363" spans="1:16" ht="15.75">
      <c r="A363" s="232">
        <v>7</v>
      </c>
      <c r="B363" s="287" t="s">
        <v>162</v>
      </c>
      <c r="C363" s="344">
        <v>94.08</v>
      </c>
      <c r="D363" s="270">
        <v>95.61</v>
      </c>
      <c r="E363" s="288">
        <f t="shared" si="47"/>
        <v>1.016262755102041</v>
      </c>
      <c r="F363" s="20"/>
      <c r="H363" s="107"/>
      <c r="I363" s="107"/>
      <c r="J363" s="107"/>
      <c r="K363" s="107"/>
      <c r="L363" s="107"/>
      <c r="N363" s="36"/>
      <c r="O363" s="36"/>
      <c r="P363" s="36"/>
    </row>
    <row r="364" spans="1:16" ht="15.75">
      <c r="A364" s="232">
        <v>8</v>
      </c>
      <c r="B364" s="287" t="s">
        <v>163</v>
      </c>
      <c r="C364" s="344">
        <v>118.66</v>
      </c>
      <c r="D364" s="270">
        <v>118.58000000000001</v>
      </c>
      <c r="E364" s="288">
        <f t="shared" si="47"/>
        <v>0.9993258048204957</v>
      </c>
      <c r="F364" s="20"/>
      <c r="H364" s="107"/>
      <c r="I364" s="107"/>
      <c r="J364" s="107"/>
      <c r="K364" s="107"/>
      <c r="L364" s="107"/>
      <c r="N364" s="36"/>
      <c r="O364" s="36"/>
      <c r="P364" s="36"/>
    </row>
    <row r="365" spans="1:16" ht="15.75">
      <c r="A365" s="232">
        <v>9</v>
      </c>
      <c r="B365" s="287" t="s">
        <v>164</v>
      </c>
      <c r="C365" s="344">
        <v>171.61</v>
      </c>
      <c r="D365" s="270">
        <v>168.72</v>
      </c>
      <c r="E365" s="288">
        <f t="shared" si="47"/>
        <v>0.9831594895402365</v>
      </c>
      <c r="F365" s="20"/>
      <c r="H365" s="107"/>
      <c r="I365" s="107"/>
      <c r="J365" s="107"/>
      <c r="K365" s="107"/>
      <c r="L365" s="107"/>
      <c r="N365" s="36"/>
      <c r="O365" s="36"/>
      <c r="P365" s="36"/>
    </row>
    <row r="366" spans="1:16" ht="15.75">
      <c r="A366" s="232">
        <v>10</v>
      </c>
      <c r="B366" s="287" t="s">
        <v>165</v>
      </c>
      <c r="C366" s="344">
        <v>58.19</v>
      </c>
      <c r="D366" s="270">
        <v>61.7</v>
      </c>
      <c r="E366" s="288">
        <f t="shared" si="47"/>
        <v>1.0603196425502666</v>
      </c>
      <c r="F366" s="20"/>
      <c r="H366" s="107"/>
      <c r="I366" s="107"/>
      <c r="J366" s="107"/>
      <c r="K366" s="107"/>
      <c r="L366" s="107"/>
      <c r="N366" s="36"/>
      <c r="O366" s="36"/>
      <c r="P366" s="36"/>
    </row>
    <row r="367" spans="1:16" ht="16.5" thickBot="1">
      <c r="A367" s="296">
        <v>11</v>
      </c>
      <c r="B367" s="297" t="s">
        <v>166</v>
      </c>
      <c r="C367" s="345">
        <v>97.76</v>
      </c>
      <c r="D367" s="305">
        <v>86.1</v>
      </c>
      <c r="E367" s="317">
        <f t="shared" si="47"/>
        <v>0.8807283142389525</v>
      </c>
      <c r="F367" s="20"/>
      <c r="H367" s="107"/>
      <c r="I367" s="107"/>
      <c r="J367" s="107"/>
      <c r="K367" s="107"/>
      <c r="L367" s="107"/>
      <c r="N367" s="714"/>
      <c r="O367" s="36"/>
      <c r="P367" s="36"/>
    </row>
    <row r="368" spans="1:16" ht="15.75" thickBot="1">
      <c r="A368" s="302"/>
      <c r="B368" s="303" t="s">
        <v>20</v>
      </c>
      <c r="C368" s="350">
        <v>1451.61</v>
      </c>
      <c r="D368" s="350">
        <v>1450.3299999999997</v>
      </c>
      <c r="E368" s="320">
        <f>AVERAGE(E357:E367)</f>
        <v>1.022484020142471</v>
      </c>
      <c r="F368" s="2"/>
      <c r="H368" s="107">
        <v>9981501</v>
      </c>
      <c r="I368" s="107">
        <v>3998064</v>
      </c>
      <c r="J368" s="107">
        <f>H368*2.92/100000</f>
        <v>291.4598292</v>
      </c>
      <c r="K368" s="107"/>
      <c r="L368" s="107"/>
      <c r="M368" s="71"/>
      <c r="N368" s="71"/>
      <c r="O368" s="71"/>
      <c r="P368" s="36"/>
    </row>
    <row r="369" spans="1:16" ht="21" customHeight="1">
      <c r="A369" s="17"/>
      <c r="B369" s="53"/>
      <c r="C369" s="668"/>
      <c r="D369" s="178"/>
      <c r="E369" s="19"/>
      <c r="F369" s="2"/>
      <c r="H369" s="107">
        <v>8439267</v>
      </c>
      <c r="I369" s="107">
        <v>2436586</v>
      </c>
      <c r="J369" s="107">
        <f>H369*2.92/100000</f>
        <v>246.4265964</v>
      </c>
      <c r="K369" s="107"/>
      <c r="L369" s="107"/>
      <c r="M369" s="107"/>
      <c r="N369" s="36"/>
      <c r="O369" s="36"/>
      <c r="P369" s="36"/>
    </row>
    <row r="370" spans="1:16" ht="15">
      <c r="A370" s="669" t="s">
        <v>291</v>
      </c>
      <c r="B370" s="670"/>
      <c r="C370" s="671"/>
      <c r="D370" s="672"/>
      <c r="E370" s="210"/>
      <c r="F370" s="103"/>
      <c r="G370" s="102"/>
      <c r="H370" s="107"/>
      <c r="I370" s="107"/>
      <c r="J370" s="107"/>
      <c r="K370" s="107"/>
      <c r="L370" s="107"/>
      <c r="M370" s="107"/>
      <c r="N370" s="36"/>
      <c r="O370" s="36"/>
      <c r="P370" s="36"/>
    </row>
    <row r="371" spans="1:14" ht="15">
      <c r="A371" s="221"/>
      <c r="B371" s="105"/>
      <c r="C371" s="105"/>
      <c r="D371" s="179"/>
      <c r="E371" s="211"/>
      <c r="F371" s="105"/>
      <c r="G371" s="102"/>
      <c r="N371" s="36"/>
    </row>
    <row r="372" spans="1:7" ht="15">
      <c r="A372" s="224" t="s">
        <v>194</v>
      </c>
      <c r="B372" s="225"/>
      <c r="C372" s="226"/>
      <c r="D372" s="180"/>
      <c r="E372" s="212"/>
      <c r="F372" s="104"/>
      <c r="G372" s="102"/>
    </row>
    <row r="373" spans="1:6" ht="16.5" thickBot="1">
      <c r="A373" s="17"/>
      <c r="B373" s="53"/>
      <c r="C373" s="668"/>
      <c r="D373" s="178"/>
      <c r="E373" s="19"/>
      <c r="F373" s="2"/>
    </row>
    <row r="374" spans="1:6" ht="29.25" thickBot="1">
      <c r="A374" s="322" t="s">
        <v>35</v>
      </c>
      <c r="B374" s="323" t="s">
        <v>17</v>
      </c>
      <c r="C374" s="323" t="s">
        <v>107</v>
      </c>
      <c r="D374" s="323" t="s">
        <v>108</v>
      </c>
      <c r="E374" s="324" t="s">
        <v>109</v>
      </c>
      <c r="F374" s="2"/>
    </row>
    <row r="375" spans="1:6" ht="15.75">
      <c r="A375" s="294">
        <v>1</v>
      </c>
      <c r="B375" s="295" t="s">
        <v>156</v>
      </c>
      <c r="C375" s="325">
        <v>1.0072440511668426</v>
      </c>
      <c r="D375" s="314">
        <v>1.0071319283352254</v>
      </c>
      <c r="E375" s="327">
        <f>(D375-C375)*100</f>
        <v>-0.011212283161721182</v>
      </c>
      <c r="F375" s="2"/>
    </row>
    <row r="376" spans="1:6" ht="15.75">
      <c r="A376" s="232">
        <v>2</v>
      </c>
      <c r="B376" s="287" t="s">
        <v>157</v>
      </c>
      <c r="C376" s="321">
        <v>1.110563569572619</v>
      </c>
      <c r="D376" s="288">
        <v>1.110067437379576</v>
      </c>
      <c r="E376" s="328">
        <f aca="true" t="shared" si="48" ref="E376:E385">(D376-C376)*100</f>
        <v>-0.04961321930430085</v>
      </c>
      <c r="F376" s="2"/>
    </row>
    <row r="377" spans="1:6" ht="15.75">
      <c r="A377" s="232">
        <v>3</v>
      </c>
      <c r="B377" s="287" t="s">
        <v>158</v>
      </c>
      <c r="C377" s="321">
        <v>1.0063455335857523</v>
      </c>
      <c r="D377" s="288">
        <v>1.006418121755545</v>
      </c>
      <c r="E377" s="328">
        <f t="shared" si="48"/>
        <v>0.007258816979271998</v>
      </c>
      <c r="F377" s="2"/>
    </row>
    <row r="378" spans="1:6" ht="15.75">
      <c r="A378" s="232">
        <v>4</v>
      </c>
      <c r="B378" s="287" t="s">
        <v>159</v>
      </c>
      <c r="C378" s="321">
        <v>1.2010761823845935</v>
      </c>
      <c r="D378" s="288">
        <v>1.2008384146341464</v>
      </c>
      <c r="E378" s="328">
        <f t="shared" si="48"/>
        <v>-0.02377677504470377</v>
      </c>
      <c r="F378" s="2"/>
    </row>
    <row r="379" spans="1:6" ht="15.75">
      <c r="A379" s="232">
        <v>5</v>
      </c>
      <c r="B379" s="287" t="s">
        <v>160</v>
      </c>
      <c r="C379" s="321">
        <v>1.0094174969093157</v>
      </c>
      <c r="D379" s="288">
        <v>1.009396104531663</v>
      </c>
      <c r="E379" s="328">
        <f t="shared" si="48"/>
        <v>-0.002139237765264035</v>
      </c>
      <c r="F379" s="2"/>
    </row>
    <row r="380" spans="1:6" ht="15.75">
      <c r="A380" s="232">
        <v>6</v>
      </c>
      <c r="B380" s="287" t="s">
        <v>161</v>
      </c>
      <c r="C380" s="321">
        <v>0.9736565995706286</v>
      </c>
      <c r="D380" s="288">
        <v>0.9736762086790323</v>
      </c>
      <c r="E380" s="328">
        <f t="shared" si="48"/>
        <v>0.0019609108403706443</v>
      </c>
      <c r="F380" s="2"/>
    </row>
    <row r="381" spans="1:6" ht="15.75">
      <c r="A381" s="232">
        <v>7</v>
      </c>
      <c r="B381" s="287" t="s">
        <v>162</v>
      </c>
      <c r="C381" s="321">
        <v>1.0163539403515705</v>
      </c>
      <c r="D381" s="288">
        <v>1.016262755102041</v>
      </c>
      <c r="E381" s="328">
        <f t="shared" si="48"/>
        <v>-0.009118524952955731</v>
      </c>
      <c r="F381" s="2"/>
    </row>
    <row r="382" spans="1:6" ht="15.75">
      <c r="A382" s="232">
        <v>8</v>
      </c>
      <c r="B382" s="287" t="s">
        <v>163</v>
      </c>
      <c r="C382" s="321">
        <v>0.9994052649701066</v>
      </c>
      <c r="D382" s="288">
        <v>0.9993258048204957</v>
      </c>
      <c r="E382" s="328">
        <f t="shared" si="48"/>
        <v>-0.007946014961091041</v>
      </c>
      <c r="F382" s="2"/>
    </row>
    <row r="383" spans="1:6" ht="15.75">
      <c r="A383" s="232">
        <v>9</v>
      </c>
      <c r="B383" s="287" t="s">
        <v>164</v>
      </c>
      <c r="C383" s="321">
        <v>0.983219296726139</v>
      </c>
      <c r="D383" s="288">
        <v>0.9831594895402365</v>
      </c>
      <c r="E383" s="328">
        <f t="shared" si="48"/>
        <v>-0.005980718590248291</v>
      </c>
      <c r="F383" s="2"/>
    </row>
    <row r="384" spans="1:6" ht="15.75">
      <c r="A384" s="232">
        <v>10</v>
      </c>
      <c r="B384" s="287" t="s">
        <v>165</v>
      </c>
      <c r="C384" s="321">
        <v>1.060273272889797</v>
      </c>
      <c r="D384" s="288">
        <v>1.0603196425502666</v>
      </c>
      <c r="E384" s="328">
        <f t="shared" si="48"/>
        <v>0.004636966046955848</v>
      </c>
      <c r="F384" s="2"/>
    </row>
    <row r="385" spans="1:6" ht="16.5" thickBot="1">
      <c r="A385" s="296">
        <v>11</v>
      </c>
      <c r="B385" s="297" t="s">
        <v>166</v>
      </c>
      <c r="C385" s="326">
        <v>0.8809261300992282</v>
      </c>
      <c r="D385" s="317">
        <v>0.8807283142389525</v>
      </c>
      <c r="E385" s="329">
        <f t="shared" si="48"/>
        <v>-0.01978158602756741</v>
      </c>
      <c r="F385" s="2"/>
    </row>
    <row r="386" spans="1:14" ht="16.5" thickBot="1">
      <c r="A386" s="766" t="s">
        <v>11</v>
      </c>
      <c r="B386" s="767"/>
      <c r="C386" s="673">
        <v>0.9991911248995305</v>
      </c>
      <c r="D386" s="673">
        <v>1.022484020142471</v>
      </c>
      <c r="E386" s="674">
        <f>(D386-C386)*100</f>
        <v>2.3292895242940426</v>
      </c>
      <c r="F386" s="2"/>
      <c r="N386" s="36"/>
    </row>
    <row r="387" spans="1:6" ht="15.75">
      <c r="A387" s="17"/>
      <c r="B387" s="53"/>
      <c r="C387" s="668"/>
      <c r="D387" s="178"/>
      <c r="E387" s="19"/>
      <c r="F387" s="2"/>
    </row>
    <row r="388" spans="1:6" ht="15.75">
      <c r="A388" s="675" t="s">
        <v>290</v>
      </c>
      <c r="B388" s="675"/>
      <c r="C388" s="675"/>
      <c r="D388" s="181"/>
      <c r="E388" s="213"/>
      <c r="F388" s="106"/>
    </row>
    <row r="389" spans="1:16" ht="16.5" thickBot="1">
      <c r="A389" s="222"/>
      <c r="B389" s="106"/>
      <c r="C389" s="106"/>
      <c r="D389" s="181"/>
      <c r="E389" s="214" t="s">
        <v>110</v>
      </c>
      <c r="F389" s="106"/>
      <c r="L389" s="36" t="s">
        <v>148</v>
      </c>
      <c r="N389" s="36" t="s">
        <v>149</v>
      </c>
      <c r="O389" s="36"/>
      <c r="P389" s="1" t="s">
        <v>20</v>
      </c>
    </row>
    <row r="390" spans="1:17" ht="47.25" customHeight="1" thickBot="1">
      <c r="A390" s="322" t="s">
        <v>35</v>
      </c>
      <c r="B390" s="323" t="s">
        <v>17</v>
      </c>
      <c r="C390" s="323" t="s">
        <v>248</v>
      </c>
      <c r="D390" s="323" t="s">
        <v>111</v>
      </c>
      <c r="E390" s="330" t="s">
        <v>112</v>
      </c>
      <c r="F390" s="331" t="s">
        <v>127</v>
      </c>
      <c r="L390" s="36" t="s">
        <v>174</v>
      </c>
      <c r="M390" s="36" t="s">
        <v>175</v>
      </c>
      <c r="N390" s="36" t="s">
        <v>174</v>
      </c>
      <c r="O390" s="36" t="s">
        <v>175</v>
      </c>
      <c r="P390" s="1" t="s">
        <v>174</v>
      </c>
      <c r="Q390" s="1" t="s">
        <v>175</v>
      </c>
    </row>
    <row r="391" spans="1:17" ht="15.75">
      <c r="A391" s="294">
        <v>1</v>
      </c>
      <c r="B391" s="295" t="s">
        <v>156</v>
      </c>
      <c r="C391" s="676">
        <v>9752864</v>
      </c>
      <c r="D391" s="343">
        <v>1098.45</v>
      </c>
      <c r="E391" s="437">
        <v>1098.45</v>
      </c>
      <c r="F391" s="438">
        <f aca="true" t="shared" si="49" ref="F391:F402">E391/D391</f>
        <v>1</v>
      </c>
      <c r="L391" s="36">
        <v>7146480</v>
      </c>
      <c r="M391" s="36">
        <v>714.65</v>
      </c>
      <c r="N391" s="107">
        <v>2558692</v>
      </c>
      <c r="O391" s="36">
        <v>383.8</v>
      </c>
      <c r="P391" s="107">
        <f>L391+N391</f>
        <v>9705172</v>
      </c>
      <c r="Q391" s="36">
        <f>M391+O391</f>
        <v>1098.45</v>
      </c>
    </row>
    <row r="392" spans="1:17" ht="15.75">
      <c r="A392" s="232">
        <v>2</v>
      </c>
      <c r="B392" s="287" t="s">
        <v>157</v>
      </c>
      <c r="C392" s="677">
        <v>1081960</v>
      </c>
      <c r="D392" s="344">
        <v>123.94999999999999</v>
      </c>
      <c r="E392" s="439">
        <v>123.94999999999999</v>
      </c>
      <c r="F392" s="440">
        <f t="shared" si="49"/>
        <v>1</v>
      </c>
      <c r="L392" s="36">
        <v>1043460</v>
      </c>
      <c r="M392" s="36">
        <v>104.35</v>
      </c>
      <c r="N392" s="107">
        <v>130680</v>
      </c>
      <c r="O392" s="36">
        <v>19.6</v>
      </c>
      <c r="P392" s="107">
        <f aca="true" t="shared" si="50" ref="P392:P402">L392+N392</f>
        <v>1174140</v>
      </c>
      <c r="Q392" s="36">
        <f aca="true" t="shared" si="51" ref="Q392:Q402">M392+O392</f>
        <v>123.94999999999999</v>
      </c>
    </row>
    <row r="393" spans="1:17" ht="15.75">
      <c r="A393" s="232">
        <v>3</v>
      </c>
      <c r="B393" s="287" t="s">
        <v>158</v>
      </c>
      <c r="C393" s="677">
        <v>2459160</v>
      </c>
      <c r="D393" s="344">
        <v>287.05</v>
      </c>
      <c r="E393" s="439">
        <v>287.05</v>
      </c>
      <c r="F393" s="440">
        <f t="shared" si="49"/>
        <v>1</v>
      </c>
      <c r="L393" s="36">
        <v>1668700</v>
      </c>
      <c r="M393" s="36">
        <v>166.87</v>
      </c>
      <c r="N393" s="107">
        <v>801240</v>
      </c>
      <c r="O393" s="36">
        <v>120.18</v>
      </c>
      <c r="P393" s="107">
        <f t="shared" si="50"/>
        <v>2469940</v>
      </c>
      <c r="Q393" s="36">
        <f t="shared" si="51"/>
        <v>287.05</v>
      </c>
    </row>
    <row r="394" spans="1:17" ht="15.75">
      <c r="A394" s="232">
        <v>4</v>
      </c>
      <c r="B394" s="287" t="s">
        <v>159</v>
      </c>
      <c r="C394" s="677">
        <v>628760</v>
      </c>
      <c r="D394" s="344">
        <v>84.82</v>
      </c>
      <c r="E394" s="439">
        <v>84.82</v>
      </c>
      <c r="F394" s="440">
        <f t="shared" si="49"/>
        <v>1</v>
      </c>
      <c r="L394" s="36">
        <v>531740</v>
      </c>
      <c r="M394" s="36">
        <v>53.17</v>
      </c>
      <c r="N394" s="107">
        <v>210980</v>
      </c>
      <c r="O394" s="36">
        <v>31.65</v>
      </c>
      <c r="P394" s="107">
        <f t="shared" si="50"/>
        <v>742720</v>
      </c>
      <c r="Q394" s="36">
        <f t="shared" si="51"/>
        <v>84.82</v>
      </c>
    </row>
    <row r="395" spans="1:17" ht="15.75">
      <c r="A395" s="232">
        <v>5</v>
      </c>
      <c r="B395" s="287" t="s">
        <v>160</v>
      </c>
      <c r="C395" s="677">
        <v>2415380</v>
      </c>
      <c r="D395" s="344">
        <v>277.61</v>
      </c>
      <c r="E395" s="439">
        <v>277.61</v>
      </c>
      <c r="F395" s="440">
        <f t="shared" si="49"/>
        <v>1</v>
      </c>
      <c r="L395" s="36">
        <v>1738220</v>
      </c>
      <c r="M395" s="36">
        <v>173.82</v>
      </c>
      <c r="N395" s="107">
        <v>691900</v>
      </c>
      <c r="O395" s="36">
        <v>103.79</v>
      </c>
      <c r="P395" s="107">
        <f t="shared" si="50"/>
        <v>2430120</v>
      </c>
      <c r="Q395" s="36">
        <f t="shared" si="51"/>
        <v>277.61</v>
      </c>
    </row>
    <row r="396" spans="1:17" ht="15.75">
      <c r="A396" s="232">
        <v>6</v>
      </c>
      <c r="B396" s="287" t="s">
        <v>161</v>
      </c>
      <c r="C396" s="677">
        <v>5614180</v>
      </c>
      <c r="D396" s="344">
        <v>603.19</v>
      </c>
      <c r="E396" s="439">
        <v>603.19</v>
      </c>
      <c r="F396" s="440">
        <f t="shared" si="49"/>
        <v>1</v>
      </c>
      <c r="L396" s="36">
        <v>4306280</v>
      </c>
      <c r="M396" s="36">
        <v>430.63</v>
      </c>
      <c r="N396" s="107">
        <v>1150380</v>
      </c>
      <c r="O396" s="36">
        <v>172.56</v>
      </c>
      <c r="P396" s="107">
        <f t="shared" si="50"/>
        <v>5456660</v>
      </c>
      <c r="Q396" s="36">
        <f t="shared" si="51"/>
        <v>603.19</v>
      </c>
    </row>
    <row r="397" spans="1:17" ht="15.75">
      <c r="A397" s="232">
        <v>7</v>
      </c>
      <c r="B397" s="287" t="s">
        <v>162</v>
      </c>
      <c r="C397" s="677">
        <v>2294380</v>
      </c>
      <c r="D397" s="344">
        <v>257.29</v>
      </c>
      <c r="E397" s="439">
        <v>257.29</v>
      </c>
      <c r="F397" s="440">
        <f t="shared" si="49"/>
        <v>1</v>
      </c>
      <c r="L397" s="36">
        <v>1808620</v>
      </c>
      <c r="M397" s="36">
        <v>180.86</v>
      </c>
      <c r="N397" s="107">
        <v>509520</v>
      </c>
      <c r="O397" s="36">
        <v>76.43</v>
      </c>
      <c r="P397" s="107">
        <f t="shared" si="50"/>
        <v>2318140</v>
      </c>
      <c r="Q397" s="36">
        <f t="shared" si="51"/>
        <v>257.29</v>
      </c>
    </row>
    <row r="398" spans="1:17" ht="15.75">
      <c r="A398" s="232">
        <v>8</v>
      </c>
      <c r="B398" s="287" t="s">
        <v>163</v>
      </c>
      <c r="C398" s="677">
        <v>2726020</v>
      </c>
      <c r="D398" s="344">
        <v>319.28</v>
      </c>
      <c r="E398" s="439">
        <v>319.28</v>
      </c>
      <c r="F398" s="440">
        <f t="shared" si="49"/>
        <v>1</v>
      </c>
      <c r="L398" s="36">
        <v>1779140</v>
      </c>
      <c r="M398" s="36">
        <v>177.91</v>
      </c>
      <c r="N398" s="107">
        <v>942480</v>
      </c>
      <c r="O398" s="36">
        <v>141.37</v>
      </c>
      <c r="P398" s="107">
        <f t="shared" si="50"/>
        <v>2721620</v>
      </c>
      <c r="Q398" s="36">
        <f t="shared" si="51"/>
        <v>319.28</v>
      </c>
    </row>
    <row r="399" spans="1:17" ht="15.75">
      <c r="A399" s="232">
        <v>9</v>
      </c>
      <c r="B399" s="287" t="s">
        <v>164</v>
      </c>
      <c r="C399" s="677">
        <v>4127640</v>
      </c>
      <c r="D399" s="344">
        <v>454.09000000000003</v>
      </c>
      <c r="E399" s="439">
        <v>454.09000000000003</v>
      </c>
      <c r="F399" s="440">
        <f t="shared" si="49"/>
        <v>1</v>
      </c>
      <c r="L399" s="36">
        <v>3066140</v>
      </c>
      <c r="M399" s="36">
        <v>306.61</v>
      </c>
      <c r="N399" s="107">
        <v>983180</v>
      </c>
      <c r="O399" s="36">
        <v>147.48</v>
      </c>
      <c r="P399" s="107">
        <f t="shared" si="50"/>
        <v>4049320</v>
      </c>
      <c r="Q399" s="36">
        <f t="shared" si="51"/>
        <v>454.09000000000003</v>
      </c>
    </row>
    <row r="400" spans="1:253" ht="15.75">
      <c r="A400" s="232">
        <v>10</v>
      </c>
      <c r="B400" s="287" t="s">
        <v>165</v>
      </c>
      <c r="C400" s="431">
        <v>1395680</v>
      </c>
      <c r="D400" s="386">
        <v>166.06</v>
      </c>
      <c r="E400" s="386">
        <v>166.06</v>
      </c>
      <c r="F400" s="440">
        <f t="shared" si="49"/>
        <v>1</v>
      </c>
      <c r="L400" s="36">
        <v>1082840</v>
      </c>
      <c r="M400" s="36">
        <v>108.28</v>
      </c>
      <c r="N400" s="107">
        <v>385220</v>
      </c>
      <c r="O400" s="36">
        <v>57.78</v>
      </c>
      <c r="P400" s="107">
        <f t="shared" si="50"/>
        <v>1468060</v>
      </c>
      <c r="Q400" s="36">
        <f t="shared" si="51"/>
        <v>166.06</v>
      </c>
      <c r="BG400" s="262">
        <f aca="true" t="shared" si="52" ref="BG400:CL400">SUM(BG390:BG396)</f>
        <v>0</v>
      </c>
      <c r="BH400" s="262">
        <f t="shared" si="52"/>
        <v>0</v>
      </c>
      <c r="BI400" s="262">
        <f t="shared" si="52"/>
        <v>0</v>
      </c>
      <c r="BJ400" s="262">
        <f t="shared" si="52"/>
        <v>0</v>
      </c>
      <c r="BK400" s="262">
        <f t="shared" si="52"/>
        <v>0</v>
      </c>
      <c r="BL400" s="262">
        <f t="shared" si="52"/>
        <v>0</v>
      </c>
      <c r="BM400" s="262">
        <f t="shared" si="52"/>
        <v>0</v>
      </c>
      <c r="BN400" s="262">
        <f t="shared" si="52"/>
        <v>0</v>
      </c>
      <c r="BO400" s="262">
        <f t="shared" si="52"/>
        <v>0</v>
      </c>
      <c r="BP400" s="262">
        <f t="shared" si="52"/>
        <v>0</v>
      </c>
      <c r="BQ400" s="262">
        <f t="shared" si="52"/>
        <v>0</v>
      </c>
      <c r="BR400" s="262">
        <f t="shared" si="52"/>
        <v>0</v>
      </c>
      <c r="BS400" s="262">
        <f t="shared" si="52"/>
        <v>0</v>
      </c>
      <c r="BT400" s="262">
        <f t="shared" si="52"/>
        <v>0</v>
      </c>
      <c r="BU400" s="262">
        <f t="shared" si="52"/>
        <v>0</v>
      </c>
      <c r="BV400" s="262">
        <f t="shared" si="52"/>
        <v>0</v>
      </c>
      <c r="BW400" s="262">
        <f t="shared" si="52"/>
        <v>0</v>
      </c>
      <c r="BX400" s="262">
        <f t="shared" si="52"/>
        <v>0</v>
      </c>
      <c r="BY400" s="262">
        <f t="shared" si="52"/>
        <v>0</v>
      </c>
      <c r="BZ400" s="262">
        <f t="shared" si="52"/>
        <v>0</v>
      </c>
      <c r="CA400" s="262">
        <f t="shared" si="52"/>
        <v>0</v>
      </c>
      <c r="CB400" s="262">
        <f t="shared" si="52"/>
        <v>0</v>
      </c>
      <c r="CC400" s="262">
        <f t="shared" si="52"/>
        <v>0</v>
      </c>
      <c r="CD400" s="262">
        <f t="shared" si="52"/>
        <v>0</v>
      </c>
      <c r="CE400" s="262">
        <f t="shared" si="52"/>
        <v>0</v>
      </c>
      <c r="CF400" s="262">
        <f t="shared" si="52"/>
        <v>0</v>
      </c>
      <c r="CG400" s="262">
        <f t="shared" si="52"/>
        <v>0</v>
      </c>
      <c r="CH400" s="262">
        <f t="shared" si="52"/>
        <v>0</v>
      </c>
      <c r="CI400" s="262">
        <f t="shared" si="52"/>
        <v>0</v>
      </c>
      <c r="CJ400" s="262">
        <f t="shared" si="52"/>
        <v>0</v>
      </c>
      <c r="CK400" s="262">
        <f t="shared" si="52"/>
        <v>0</v>
      </c>
      <c r="CL400" s="262">
        <f t="shared" si="52"/>
        <v>0</v>
      </c>
      <c r="CM400" s="262">
        <f aca="true" t="shared" si="53" ref="CM400:DR400">SUM(CM390:CM396)</f>
        <v>0</v>
      </c>
      <c r="CN400" s="262">
        <f t="shared" si="53"/>
        <v>0</v>
      </c>
      <c r="CO400" s="262">
        <f t="shared" si="53"/>
        <v>0</v>
      </c>
      <c r="CP400" s="262">
        <f t="shared" si="53"/>
        <v>0</v>
      </c>
      <c r="CQ400" s="262">
        <f t="shared" si="53"/>
        <v>0</v>
      </c>
      <c r="CR400" s="262">
        <f t="shared" si="53"/>
        <v>0</v>
      </c>
      <c r="CS400" s="262">
        <f t="shared" si="53"/>
        <v>0</v>
      </c>
      <c r="CT400" s="262">
        <f t="shared" si="53"/>
        <v>0</v>
      </c>
      <c r="CU400" s="262">
        <f t="shared" si="53"/>
        <v>0</v>
      </c>
      <c r="CV400" s="262">
        <f t="shared" si="53"/>
        <v>0</v>
      </c>
      <c r="CW400" s="262">
        <f t="shared" si="53"/>
        <v>0</v>
      </c>
      <c r="CX400" s="262">
        <f t="shared" si="53"/>
        <v>0</v>
      </c>
      <c r="CY400" s="262">
        <f t="shared" si="53"/>
        <v>0</v>
      </c>
      <c r="CZ400" s="262">
        <f t="shared" si="53"/>
        <v>0</v>
      </c>
      <c r="DA400" s="262">
        <f t="shared" si="53"/>
        <v>0</v>
      </c>
      <c r="DB400" s="262">
        <f t="shared" si="53"/>
        <v>0</v>
      </c>
      <c r="DC400" s="262">
        <f t="shared" si="53"/>
        <v>0</v>
      </c>
      <c r="DD400" s="262">
        <f t="shared" si="53"/>
        <v>0</v>
      </c>
      <c r="DE400" s="262">
        <f t="shared" si="53"/>
        <v>0</v>
      </c>
      <c r="DF400" s="262">
        <f t="shared" si="53"/>
        <v>0</v>
      </c>
      <c r="DG400" s="262">
        <f t="shared" si="53"/>
        <v>0</v>
      </c>
      <c r="DH400" s="262">
        <f t="shared" si="53"/>
        <v>0</v>
      </c>
      <c r="DI400" s="262">
        <f t="shared" si="53"/>
        <v>0</v>
      </c>
      <c r="DJ400" s="262">
        <f t="shared" si="53"/>
        <v>0</v>
      </c>
      <c r="DK400" s="262">
        <f t="shared" si="53"/>
        <v>0</v>
      </c>
      <c r="DL400" s="262">
        <f t="shared" si="53"/>
        <v>0</v>
      </c>
      <c r="DM400" s="262">
        <f t="shared" si="53"/>
        <v>0</v>
      </c>
      <c r="DN400" s="262">
        <f t="shared" si="53"/>
        <v>0</v>
      </c>
      <c r="DO400" s="262">
        <f t="shared" si="53"/>
        <v>0</v>
      </c>
      <c r="DP400" s="262">
        <f t="shared" si="53"/>
        <v>0</v>
      </c>
      <c r="DQ400" s="262">
        <f t="shared" si="53"/>
        <v>0</v>
      </c>
      <c r="DR400" s="262">
        <f t="shared" si="53"/>
        <v>0</v>
      </c>
      <c r="DS400" s="262">
        <f aca="true" t="shared" si="54" ref="DS400:EX400">SUM(DS390:DS396)</f>
        <v>0</v>
      </c>
      <c r="DT400" s="262">
        <f t="shared" si="54"/>
        <v>0</v>
      </c>
      <c r="DU400" s="262">
        <f t="shared" si="54"/>
        <v>0</v>
      </c>
      <c r="DV400" s="262">
        <f t="shared" si="54"/>
        <v>0</v>
      </c>
      <c r="DW400" s="262">
        <f t="shared" si="54"/>
        <v>0</v>
      </c>
      <c r="DX400" s="262">
        <f t="shared" si="54"/>
        <v>0</v>
      </c>
      <c r="DY400" s="262">
        <f t="shared" si="54"/>
        <v>0</v>
      </c>
      <c r="DZ400" s="262">
        <f t="shared" si="54"/>
        <v>0</v>
      </c>
      <c r="EA400" s="262">
        <f t="shared" si="54"/>
        <v>0</v>
      </c>
      <c r="EB400" s="262">
        <f t="shared" si="54"/>
        <v>0</v>
      </c>
      <c r="EC400" s="262">
        <f t="shared" si="54"/>
        <v>0</v>
      </c>
      <c r="ED400" s="262">
        <f t="shared" si="54"/>
        <v>0</v>
      </c>
      <c r="EE400" s="262">
        <f t="shared" si="54"/>
        <v>0</v>
      </c>
      <c r="EF400" s="262">
        <f t="shared" si="54"/>
        <v>0</v>
      </c>
      <c r="EG400" s="262">
        <f t="shared" si="54"/>
        <v>0</v>
      </c>
      <c r="EH400" s="262">
        <f t="shared" si="54"/>
        <v>0</v>
      </c>
      <c r="EI400" s="262">
        <f t="shared" si="54"/>
        <v>0</v>
      </c>
      <c r="EJ400" s="262">
        <f t="shared" si="54"/>
        <v>0</v>
      </c>
      <c r="EK400" s="262">
        <f t="shared" si="54"/>
        <v>0</v>
      </c>
      <c r="EL400" s="262">
        <f t="shared" si="54"/>
        <v>0</v>
      </c>
      <c r="EM400" s="262">
        <f t="shared" si="54"/>
        <v>0</v>
      </c>
      <c r="EN400" s="262">
        <f t="shared" si="54"/>
        <v>0</v>
      </c>
      <c r="EO400" s="262">
        <f t="shared" si="54"/>
        <v>0</v>
      </c>
      <c r="EP400" s="262">
        <f t="shared" si="54"/>
        <v>0</v>
      </c>
      <c r="EQ400" s="262">
        <f t="shared" si="54"/>
        <v>0</v>
      </c>
      <c r="ER400" s="262">
        <f t="shared" si="54"/>
        <v>0</v>
      </c>
      <c r="ES400" s="262">
        <f t="shared" si="54"/>
        <v>0</v>
      </c>
      <c r="ET400" s="262">
        <f t="shared" si="54"/>
        <v>0</v>
      </c>
      <c r="EU400" s="262">
        <f t="shared" si="54"/>
        <v>0</v>
      </c>
      <c r="EV400" s="262">
        <f t="shared" si="54"/>
        <v>0</v>
      </c>
      <c r="EW400" s="262">
        <f t="shared" si="54"/>
        <v>0</v>
      </c>
      <c r="EX400" s="262">
        <f t="shared" si="54"/>
        <v>0</v>
      </c>
      <c r="EY400" s="262">
        <f aca="true" t="shared" si="55" ref="EY400:GD400">SUM(EY390:EY396)</f>
        <v>0</v>
      </c>
      <c r="EZ400" s="262">
        <f t="shared" si="55"/>
        <v>0</v>
      </c>
      <c r="FA400" s="262">
        <f t="shared" si="55"/>
        <v>0</v>
      </c>
      <c r="FB400" s="262">
        <f t="shared" si="55"/>
        <v>0</v>
      </c>
      <c r="FC400" s="262">
        <f t="shared" si="55"/>
        <v>0</v>
      </c>
      <c r="FD400" s="262">
        <f t="shared" si="55"/>
        <v>0</v>
      </c>
      <c r="FE400" s="262">
        <f t="shared" si="55"/>
        <v>0</v>
      </c>
      <c r="FF400" s="262">
        <f t="shared" si="55"/>
        <v>0</v>
      </c>
      <c r="FG400" s="262">
        <f t="shared" si="55"/>
        <v>0</v>
      </c>
      <c r="FH400" s="262">
        <f t="shared" si="55"/>
        <v>0</v>
      </c>
      <c r="FI400" s="262">
        <f t="shared" si="55"/>
        <v>0</v>
      </c>
      <c r="FJ400" s="262">
        <f t="shared" si="55"/>
        <v>0</v>
      </c>
      <c r="FK400" s="262">
        <f t="shared" si="55"/>
        <v>0</v>
      </c>
      <c r="FL400" s="262">
        <f t="shared" si="55"/>
        <v>0</v>
      </c>
      <c r="FM400" s="262">
        <f t="shared" si="55"/>
        <v>0</v>
      </c>
      <c r="FN400" s="262">
        <f t="shared" si="55"/>
        <v>0</v>
      </c>
      <c r="FO400" s="262">
        <f t="shared" si="55"/>
        <v>0</v>
      </c>
      <c r="FP400" s="262">
        <f t="shared" si="55"/>
        <v>0</v>
      </c>
      <c r="FQ400" s="262">
        <f t="shared" si="55"/>
        <v>0</v>
      </c>
      <c r="FR400" s="262">
        <f t="shared" si="55"/>
        <v>0</v>
      </c>
      <c r="FS400" s="262">
        <f t="shared" si="55"/>
        <v>0</v>
      </c>
      <c r="FT400" s="262">
        <f t="shared" si="55"/>
        <v>0</v>
      </c>
      <c r="FU400" s="262">
        <f t="shared" si="55"/>
        <v>0</v>
      </c>
      <c r="FV400" s="262">
        <f t="shared" si="55"/>
        <v>0</v>
      </c>
      <c r="FW400" s="262">
        <f t="shared" si="55"/>
        <v>0</v>
      </c>
      <c r="FX400" s="262">
        <f t="shared" si="55"/>
        <v>0</v>
      </c>
      <c r="FY400" s="262">
        <f t="shared" si="55"/>
        <v>0</v>
      </c>
      <c r="FZ400" s="262">
        <f t="shared" si="55"/>
        <v>0</v>
      </c>
      <c r="GA400" s="262">
        <f t="shared" si="55"/>
        <v>0</v>
      </c>
      <c r="GB400" s="262">
        <f t="shared" si="55"/>
        <v>0</v>
      </c>
      <c r="GC400" s="262">
        <f t="shared" si="55"/>
        <v>0</v>
      </c>
      <c r="GD400" s="262">
        <f t="shared" si="55"/>
        <v>0</v>
      </c>
      <c r="GE400" s="262">
        <f aca="true" t="shared" si="56" ref="GE400:HJ400">SUM(GE390:GE396)</f>
        <v>0</v>
      </c>
      <c r="GF400" s="262">
        <f t="shared" si="56"/>
        <v>0</v>
      </c>
      <c r="GG400" s="262">
        <f t="shared" si="56"/>
        <v>0</v>
      </c>
      <c r="GH400" s="262">
        <f t="shared" si="56"/>
        <v>0</v>
      </c>
      <c r="GI400" s="262">
        <f t="shared" si="56"/>
        <v>0</v>
      </c>
      <c r="GJ400" s="262">
        <f t="shared" si="56"/>
        <v>0</v>
      </c>
      <c r="GK400" s="262">
        <f t="shared" si="56"/>
        <v>0</v>
      </c>
      <c r="GL400" s="262">
        <f t="shared" si="56"/>
        <v>0</v>
      </c>
      <c r="GM400" s="262">
        <f t="shared" si="56"/>
        <v>0</v>
      </c>
      <c r="GN400" s="262">
        <f t="shared" si="56"/>
        <v>0</v>
      </c>
      <c r="GO400" s="262">
        <f t="shared" si="56"/>
        <v>0</v>
      </c>
      <c r="GP400" s="262">
        <f t="shared" si="56"/>
        <v>0</v>
      </c>
      <c r="GQ400" s="262">
        <f t="shared" si="56"/>
        <v>0</v>
      </c>
      <c r="GR400" s="262">
        <f t="shared" si="56"/>
        <v>0</v>
      </c>
      <c r="GS400" s="262">
        <f t="shared" si="56"/>
        <v>0</v>
      </c>
      <c r="GT400" s="262">
        <f t="shared" si="56"/>
        <v>0</v>
      </c>
      <c r="GU400" s="262">
        <f t="shared" si="56"/>
        <v>0</v>
      </c>
      <c r="GV400" s="262">
        <f t="shared" si="56"/>
        <v>0</v>
      </c>
      <c r="GW400" s="262">
        <f t="shared" si="56"/>
        <v>0</v>
      </c>
      <c r="GX400" s="262">
        <f t="shared" si="56"/>
        <v>0</v>
      </c>
      <c r="GY400" s="262">
        <f t="shared" si="56"/>
        <v>0</v>
      </c>
      <c r="GZ400" s="262">
        <f t="shared" si="56"/>
        <v>0</v>
      </c>
      <c r="HA400" s="262">
        <f t="shared" si="56"/>
        <v>0</v>
      </c>
      <c r="HB400" s="262">
        <f t="shared" si="56"/>
        <v>0</v>
      </c>
      <c r="HC400" s="262">
        <f t="shared" si="56"/>
        <v>0</v>
      </c>
      <c r="HD400" s="262">
        <f t="shared" si="56"/>
        <v>0</v>
      </c>
      <c r="HE400" s="262">
        <f t="shared" si="56"/>
        <v>0</v>
      </c>
      <c r="HF400" s="262">
        <f t="shared" si="56"/>
        <v>0</v>
      </c>
      <c r="HG400" s="262">
        <f t="shared" si="56"/>
        <v>0</v>
      </c>
      <c r="HH400" s="262">
        <f t="shared" si="56"/>
        <v>0</v>
      </c>
      <c r="HI400" s="262">
        <f t="shared" si="56"/>
        <v>0</v>
      </c>
      <c r="HJ400" s="262">
        <f t="shared" si="56"/>
        <v>0</v>
      </c>
      <c r="HK400" s="262">
        <f aca="true" t="shared" si="57" ref="HK400:IR400">SUM(HK390:HK396)</f>
        <v>0</v>
      </c>
      <c r="HL400" s="262">
        <f t="shared" si="57"/>
        <v>0</v>
      </c>
      <c r="HM400" s="262">
        <f t="shared" si="57"/>
        <v>0</v>
      </c>
      <c r="HN400" s="262">
        <f t="shared" si="57"/>
        <v>0</v>
      </c>
      <c r="HO400" s="262">
        <f t="shared" si="57"/>
        <v>0</v>
      </c>
      <c r="HP400" s="262">
        <f t="shared" si="57"/>
        <v>0</v>
      </c>
      <c r="HQ400" s="262">
        <f t="shared" si="57"/>
        <v>0</v>
      </c>
      <c r="HR400" s="262">
        <f t="shared" si="57"/>
        <v>0</v>
      </c>
      <c r="HS400" s="262">
        <f t="shared" si="57"/>
        <v>0</v>
      </c>
      <c r="HT400" s="262">
        <f t="shared" si="57"/>
        <v>0</v>
      </c>
      <c r="HU400" s="262">
        <f t="shared" si="57"/>
        <v>0</v>
      </c>
      <c r="HV400" s="262">
        <f t="shared" si="57"/>
        <v>0</v>
      </c>
      <c r="HW400" s="262">
        <f t="shared" si="57"/>
        <v>0</v>
      </c>
      <c r="HX400" s="262">
        <f t="shared" si="57"/>
        <v>0</v>
      </c>
      <c r="HY400" s="262">
        <f t="shared" si="57"/>
        <v>0</v>
      </c>
      <c r="HZ400" s="262">
        <f t="shared" si="57"/>
        <v>0</v>
      </c>
      <c r="IA400" s="262">
        <f t="shared" si="57"/>
        <v>0</v>
      </c>
      <c r="IB400" s="262">
        <f t="shared" si="57"/>
        <v>0</v>
      </c>
      <c r="IC400" s="262">
        <f t="shared" si="57"/>
        <v>0</v>
      </c>
      <c r="ID400" s="262">
        <f t="shared" si="57"/>
        <v>0</v>
      </c>
      <c r="IE400" s="262">
        <f t="shared" si="57"/>
        <v>0</v>
      </c>
      <c r="IF400" s="262">
        <f t="shared" si="57"/>
        <v>0</v>
      </c>
      <c r="IG400" s="262">
        <f t="shared" si="57"/>
        <v>0</v>
      </c>
      <c r="IH400" s="262">
        <f t="shared" si="57"/>
        <v>0</v>
      </c>
      <c r="II400" s="262">
        <f t="shared" si="57"/>
        <v>0</v>
      </c>
      <c r="IJ400" s="262">
        <f t="shared" si="57"/>
        <v>0</v>
      </c>
      <c r="IK400" s="262">
        <f t="shared" si="57"/>
        <v>0</v>
      </c>
      <c r="IL400" s="262">
        <f t="shared" si="57"/>
        <v>0</v>
      </c>
      <c r="IM400" s="262">
        <f t="shared" si="57"/>
        <v>0</v>
      </c>
      <c r="IN400" s="262">
        <f t="shared" si="57"/>
        <v>0</v>
      </c>
      <c r="IO400" s="262">
        <f t="shared" si="57"/>
        <v>0</v>
      </c>
      <c r="IP400" s="262">
        <f t="shared" si="57"/>
        <v>0</v>
      </c>
      <c r="IQ400" s="262">
        <f t="shared" si="57"/>
        <v>0</v>
      </c>
      <c r="IR400" s="262">
        <f t="shared" si="57"/>
        <v>0</v>
      </c>
      <c r="IS400" s="262">
        <f>SUM(IS390:IV396)</f>
        <v>0</v>
      </c>
    </row>
    <row r="401" spans="1:17" ht="16.5" thickBot="1">
      <c r="A401" s="296">
        <v>11</v>
      </c>
      <c r="B401" s="297" t="s">
        <v>166</v>
      </c>
      <c r="C401" s="678">
        <v>2401300</v>
      </c>
      <c r="D401" s="345">
        <v>231.71</v>
      </c>
      <c r="E401" s="441">
        <v>231.71</v>
      </c>
      <c r="F401" s="442">
        <f t="shared" si="49"/>
        <v>1</v>
      </c>
      <c r="L401" s="36">
        <v>1575640</v>
      </c>
      <c r="M401" s="36">
        <v>157.56</v>
      </c>
      <c r="N401" s="107">
        <v>494340</v>
      </c>
      <c r="O401" s="36">
        <v>74.15</v>
      </c>
      <c r="P401" s="107">
        <f t="shared" si="50"/>
        <v>2069980</v>
      </c>
      <c r="Q401" s="36">
        <f t="shared" si="51"/>
        <v>231.71</v>
      </c>
    </row>
    <row r="402" spans="1:17" ht="16.5" thickBot="1">
      <c r="A402" s="742" t="s">
        <v>20</v>
      </c>
      <c r="B402" s="743"/>
      <c r="C402" s="679">
        <v>34897324</v>
      </c>
      <c r="D402" s="680">
        <v>3903.5</v>
      </c>
      <c r="E402" s="680">
        <v>3903.5000000000005</v>
      </c>
      <c r="F402" s="443">
        <f t="shared" si="49"/>
        <v>1.0000000000000002</v>
      </c>
      <c r="L402" s="36">
        <v>25747260</v>
      </c>
      <c r="M402" s="36">
        <v>2574.71</v>
      </c>
      <c r="N402" s="107">
        <v>8858612</v>
      </c>
      <c r="O402" s="36">
        <v>1328.7900000000002</v>
      </c>
      <c r="P402" s="107">
        <f t="shared" si="50"/>
        <v>34605872</v>
      </c>
      <c r="Q402" s="36">
        <f t="shared" si="51"/>
        <v>3903.5</v>
      </c>
    </row>
    <row r="403" spans="1:6" ht="15.75">
      <c r="A403" s="17"/>
      <c r="B403" s="53"/>
      <c r="C403" s="668"/>
      <c r="D403" s="178"/>
      <c r="E403" s="19"/>
      <c r="F403" s="2"/>
    </row>
    <row r="404" spans="1:6" ht="15.75">
      <c r="A404" s="17"/>
      <c r="B404" s="53"/>
      <c r="C404" s="668"/>
      <c r="D404" s="178"/>
      <c r="E404" s="19"/>
      <c r="F404" s="2"/>
    </row>
    <row r="405" spans="1:6" ht="15.75" customHeight="1">
      <c r="A405" s="681" t="s">
        <v>292</v>
      </c>
      <c r="B405" s="681"/>
      <c r="C405" s="681"/>
      <c r="D405" s="681"/>
      <c r="E405" s="19"/>
      <c r="F405" s="2"/>
    </row>
    <row r="406" spans="1:6" ht="16.5" thickBot="1">
      <c r="A406" s="17"/>
      <c r="B406" s="53"/>
      <c r="C406" s="668"/>
      <c r="D406" s="178"/>
      <c r="E406" s="744" t="s">
        <v>113</v>
      </c>
      <c r="F406" s="744"/>
    </row>
    <row r="407" spans="1:15" ht="72" thickBot="1">
      <c r="A407" s="322" t="s">
        <v>35</v>
      </c>
      <c r="B407" s="323" t="s">
        <v>17</v>
      </c>
      <c r="C407" s="323" t="s">
        <v>249</v>
      </c>
      <c r="D407" s="323" t="s">
        <v>125</v>
      </c>
      <c r="E407" s="330" t="s">
        <v>126</v>
      </c>
      <c r="F407" s="331" t="s">
        <v>127</v>
      </c>
      <c r="L407" s="36" t="s">
        <v>148</v>
      </c>
      <c r="N407" s="1" t="s">
        <v>149</v>
      </c>
      <c r="O407" s="36"/>
    </row>
    <row r="408" spans="1:21" ht="15.75">
      <c r="A408" s="294">
        <v>1</v>
      </c>
      <c r="B408" s="295" t="s">
        <v>156</v>
      </c>
      <c r="C408" s="394">
        <v>9752864</v>
      </c>
      <c r="D408" s="444">
        <v>408.11</v>
      </c>
      <c r="E408" s="682">
        <v>408.11</v>
      </c>
      <c r="F408" s="438">
        <f>E408/D408</f>
        <v>1</v>
      </c>
      <c r="L408" s="36">
        <v>33852</v>
      </c>
      <c r="M408" s="36">
        <f>(L408*55*3.86)/100000+(L408*115*4.13)/100000</f>
        <v>232.64787</v>
      </c>
      <c r="N408" s="1">
        <v>8013</v>
      </c>
      <c r="O408" s="36">
        <f>(N408*55*5.78)/100000+(N408*115*6.18)/100000</f>
        <v>82.421718</v>
      </c>
      <c r="P408" s="36">
        <f>M408+O408</f>
        <v>315.069588</v>
      </c>
      <c r="S408" s="1">
        <v>220.29</v>
      </c>
      <c r="T408" s="1">
        <v>99.33</v>
      </c>
      <c r="U408" s="1">
        <f>S408+T408</f>
        <v>319.62</v>
      </c>
    </row>
    <row r="409" spans="1:21" ht="15.75">
      <c r="A409" s="232">
        <v>2</v>
      </c>
      <c r="B409" s="287" t="s">
        <v>157</v>
      </c>
      <c r="C409" s="394">
        <v>1081960</v>
      </c>
      <c r="D409" s="445">
        <v>46.09</v>
      </c>
      <c r="E409" s="683">
        <v>46.09</v>
      </c>
      <c r="F409" s="440">
        <f aca="true" t="shared" si="58" ref="F409:F418">E409/D409</f>
        <v>1</v>
      </c>
      <c r="L409" s="36">
        <v>4606</v>
      </c>
      <c r="M409" s="36">
        <f aca="true" t="shared" si="59" ref="M409:M419">(L409*55*3.86)/100000+(L409*115*4.13)/100000</f>
        <v>31.654734999999995</v>
      </c>
      <c r="N409" s="1">
        <v>1154</v>
      </c>
      <c r="O409" s="36">
        <f aca="true" t="shared" si="60" ref="O409:O419">(N409*55*5.78)/100000+(N409*115*6.18)/100000</f>
        <v>11.870044</v>
      </c>
      <c r="P409" s="36">
        <f aca="true" t="shared" si="61" ref="P409:P419">M409+O409</f>
        <v>43.524778999999995</v>
      </c>
      <c r="S409" s="1">
        <v>35.42</v>
      </c>
      <c r="T409" s="1">
        <v>7.7</v>
      </c>
      <c r="U409" s="1">
        <f aca="true" t="shared" si="62" ref="U409:U419">S409+T409</f>
        <v>43.120000000000005</v>
      </c>
    </row>
    <row r="410" spans="1:21" ht="15.75">
      <c r="A410" s="232">
        <v>3</v>
      </c>
      <c r="B410" s="287" t="s">
        <v>158</v>
      </c>
      <c r="C410" s="394">
        <v>2459160</v>
      </c>
      <c r="D410" s="445">
        <v>106.63</v>
      </c>
      <c r="E410" s="683">
        <v>106.63</v>
      </c>
      <c r="F410" s="440">
        <f t="shared" si="58"/>
        <v>1</v>
      </c>
      <c r="L410" s="36">
        <v>7602</v>
      </c>
      <c r="M410" s="36">
        <f t="shared" si="59"/>
        <v>52.244744999999995</v>
      </c>
      <c r="N410" s="1">
        <v>3182</v>
      </c>
      <c r="O410" s="36">
        <f t="shared" si="60"/>
        <v>32.730052</v>
      </c>
      <c r="P410" s="36">
        <f t="shared" si="61"/>
        <v>84.974797</v>
      </c>
      <c r="S410" s="1">
        <v>50.42</v>
      </c>
      <c r="T410" s="1">
        <v>19.98</v>
      </c>
      <c r="U410" s="1">
        <f t="shared" si="62"/>
        <v>70.4</v>
      </c>
    </row>
    <row r="411" spans="1:21" ht="15.75">
      <c r="A411" s="232">
        <v>4</v>
      </c>
      <c r="B411" s="287" t="s">
        <v>159</v>
      </c>
      <c r="C411" s="394">
        <v>628760</v>
      </c>
      <c r="D411" s="445">
        <v>31.51</v>
      </c>
      <c r="E411" s="683">
        <v>31.51</v>
      </c>
      <c r="F411" s="440">
        <f t="shared" si="58"/>
        <v>1</v>
      </c>
      <c r="L411" s="36">
        <v>2154</v>
      </c>
      <c r="M411" s="36">
        <f t="shared" si="59"/>
        <v>14.803365</v>
      </c>
      <c r="N411" s="1">
        <v>871</v>
      </c>
      <c r="O411" s="36">
        <f t="shared" si="60"/>
        <v>8.959106</v>
      </c>
      <c r="P411" s="36">
        <f t="shared" si="61"/>
        <v>23.762470999999998</v>
      </c>
      <c r="S411" s="1">
        <v>15.5</v>
      </c>
      <c r="T411" s="1">
        <v>5.75</v>
      </c>
      <c r="U411" s="1">
        <f t="shared" si="62"/>
        <v>21.25</v>
      </c>
    </row>
    <row r="412" spans="1:21" ht="15.75">
      <c r="A412" s="232">
        <v>5</v>
      </c>
      <c r="B412" s="287" t="s">
        <v>160</v>
      </c>
      <c r="C412" s="394">
        <v>2415380</v>
      </c>
      <c r="D412" s="445">
        <v>103.13</v>
      </c>
      <c r="E412" s="683">
        <v>103.13</v>
      </c>
      <c r="F412" s="440">
        <f t="shared" si="58"/>
        <v>1</v>
      </c>
      <c r="L412" s="36">
        <v>7935</v>
      </c>
      <c r="M412" s="36">
        <f t="shared" si="59"/>
        <v>54.5332875</v>
      </c>
      <c r="N412" s="1">
        <v>3735</v>
      </c>
      <c r="O412" s="36">
        <f t="shared" si="60"/>
        <v>38.41821</v>
      </c>
      <c r="P412" s="36">
        <f t="shared" si="61"/>
        <v>92.9514975</v>
      </c>
      <c r="S412" s="1">
        <v>50.57</v>
      </c>
      <c r="T412" s="1">
        <v>18.13</v>
      </c>
      <c r="U412" s="1">
        <f t="shared" si="62"/>
        <v>68.7</v>
      </c>
    </row>
    <row r="413" spans="1:21" ht="15.75">
      <c r="A413" s="232">
        <v>6</v>
      </c>
      <c r="B413" s="287" t="s">
        <v>161</v>
      </c>
      <c r="C413" s="394">
        <v>5614180</v>
      </c>
      <c r="D413" s="445">
        <v>224.15</v>
      </c>
      <c r="E413" s="683">
        <v>224.15</v>
      </c>
      <c r="F413" s="440">
        <f t="shared" si="58"/>
        <v>1</v>
      </c>
      <c r="L413" s="36">
        <v>20243</v>
      </c>
      <c r="M413" s="36">
        <f t="shared" si="59"/>
        <v>139.1200175</v>
      </c>
      <c r="N413" s="1">
        <v>4906</v>
      </c>
      <c r="O413" s="36">
        <f t="shared" si="60"/>
        <v>50.463116</v>
      </c>
      <c r="P413" s="36">
        <f t="shared" si="61"/>
        <v>189.58313349999997</v>
      </c>
      <c r="S413" s="1">
        <v>120.21</v>
      </c>
      <c r="T413" s="1">
        <v>25.33</v>
      </c>
      <c r="U413" s="1">
        <f t="shared" si="62"/>
        <v>145.54</v>
      </c>
    </row>
    <row r="414" spans="1:21" ht="15.75">
      <c r="A414" s="232">
        <v>7</v>
      </c>
      <c r="B414" s="287" t="s">
        <v>162</v>
      </c>
      <c r="C414" s="394">
        <v>2294380</v>
      </c>
      <c r="D414" s="445">
        <v>95.61</v>
      </c>
      <c r="E414" s="683">
        <v>95.61</v>
      </c>
      <c r="F414" s="440">
        <f t="shared" si="58"/>
        <v>1</v>
      </c>
      <c r="L414" s="36">
        <v>8273</v>
      </c>
      <c r="M414" s="36">
        <f t="shared" si="59"/>
        <v>56.856192500000006</v>
      </c>
      <c r="N414" s="1">
        <v>2077</v>
      </c>
      <c r="O414" s="36">
        <f t="shared" si="60"/>
        <v>21.364022</v>
      </c>
      <c r="P414" s="36">
        <f t="shared" si="61"/>
        <v>78.2202145</v>
      </c>
      <c r="S414" s="1">
        <v>48.15</v>
      </c>
      <c r="T414" s="1">
        <v>12.95</v>
      </c>
      <c r="U414" s="1">
        <f t="shared" si="62"/>
        <v>61.099999999999994</v>
      </c>
    </row>
    <row r="415" spans="1:21" ht="15.75">
      <c r="A415" s="232">
        <v>8</v>
      </c>
      <c r="B415" s="287" t="s">
        <v>163</v>
      </c>
      <c r="C415" s="394">
        <v>2726020</v>
      </c>
      <c r="D415" s="445">
        <v>118.58000000000001</v>
      </c>
      <c r="E415" s="683">
        <v>118.58000000000001</v>
      </c>
      <c r="F415" s="440">
        <f t="shared" si="58"/>
        <v>1</v>
      </c>
      <c r="L415" s="36">
        <v>8130</v>
      </c>
      <c r="M415" s="36">
        <f t="shared" si="59"/>
        <v>55.873425</v>
      </c>
      <c r="N415" s="1">
        <v>4062</v>
      </c>
      <c r="O415" s="36">
        <f t="shared" si="60"/>
        <v>41.781732</v>
      </c>
      <c r="P415" s="36">
        <f t="shared" si="61"/>
        <v>97.655157</v>
      </c>
      <c r="S415" s="1">
        <v>56.4</v>
      </c>
      <c r="T415" s="1">
        <v>20.76</v>
      </c>
      <c r="U415" s="1">
        <f t="shared" si="62"/>
        <v>77.16</v>
      </c>
    </row>
    <row r="416" spans="1:21" ht="15.75">
      <c r="A416" s="232">
        <v>9</v>
      </c>
      <c r="B416" s="287" t="s">
        <v>164</v>
      </c>
      <c r="C416" s="394">
        <v>4127640</v>
      </c>
      <c r="D416" s="445">
        <v>168.72</v>
      </c>
      <c r="E416" s="683">
        <v>168.72</v>
      </c>
      <c r="F416" s="440">
        <f t="shared" si="58"/>
        <v>1</v>
      </c>
      <c r="L416" s="36">
        <v>14300</v>
      </c>
      <c r="M416" s="36">
        <f t="shared" si="59"/>
        <v>98.27674999999999</v>
      </c>
      <c r="N416" s="1">
        <v>2501</v>
      </c>
      <c r="O416" s="36">
        <f t="shared" si="60"/>
        <v>25.725286</v>
      </c>
      <c r="P416" s="36">
        <f t="shared" si="61"/>
        <v>124.00203599999999</v>
      </c>
      <c r="S416" s="1">
        <v>66.48</v>
      </c>
      <c r="T416" s="1">
        <v>22.9</v>
      </c>
      <c r="U416" s="1">
        <f t="shared" si="62"/>
        <v>89.38</v>
      </c>
    </row>
    <row r="417" spans="1:21" ht="15.75">
      <c r="A417" s="232">
        <v>10</v>
      </c>
      <c r="B417" s="287" t="s">
        <v>165</v>
      </c>
      <c r="C417" s="394">
        <v>1395680</v>
      </c>
      <c r="D417" s="446">
        <v>61.7</v>
      </c>
      <c r="E417" s="683">
        <v>61.7</v>
      </c>
      <c r="F417" s="440">
        <f t="shared" si="58"/>
        <v>1</v>
      </c>
      <c r="L417" s="36">
        <v>4794</v>
      </c>
      <c r="M417" s="36">
        <f t="shared" si="59"/>
        <v>32.946765</v>
      </c>
      <c r="N417" s="1">
        <v>1877</v>
      </c>
      <c r="O417" s="36">
        <f t="shared" si="60"/>
        <v>19.306822</v>
      </c>
      <c r="P417" s="36">
        <f t="shared" si="61"/>
        <v>52.253586999999996</v>
      </c>
      <c r="S417" s="1">
        <v>20.07</v>
      </c>
      <c r="T417" s="1">
        <v>7.58</v>
      </c>
      <c r="U417" s="1">
        <f t="shared" si="62"/>
        <v>27.65</v>
      </c>
    </row>
    <row r="418" spans="1:21" ht="16.5" thickBot="1">
      <c r="A418" s="296">
        <v>11</v>
      </c>
      <c r="B418" s="297" t="s">
        <v>166</v>
      </c>
      <c r="C418" s="394">
        <v>2401300</v>
      </c>
      <c r="D418" s="447">
        <v>86.1</v>
      </c>
      <c r="E418" s="684">
        <v>86.1</v>
      </c>
      <c r="F418" s="442">
        <f t="shared" si="58"/>
        <v>1</v>
      </c>
      <c r="L418" s="36">
        <v>8833</v>
      </c>
      <c r="M418" s="36">
        <f t="shared" si="59"/>
        <v>60.704792499999996</v>
      </c>
      <c r="N418" s="1">
        <v>3126</v>
      </c>
      <c r="O418" s="36">
        <f t="shared" si="60"/>
        <v>32.154036</v>
      </c>
      <c r="P418" s="36">
        <f t="shared" si="61"/>
        <v>92.85882849999999</v>
      </c>
      <c r="R418" s="36">
        <f>M419+O419</f>
        <v>1194.856089</v>
      </c>
      <c r="S418" s="1">
        <v>56.32</v>
      </c>
      <c r="T418" s="1">
        <v>13.66</v>
      </c>
      <c r="U418" s="1">
        <f t="shared" si="62"/>
        <v>69.98</v>
      </c>
    </row>
    <row r="419" spans="1:21" ht="16.5" thickBot="1">
      <c r="A419" s="740" t="s">
        <v>20</v>
      </c>
      <c r="B419" s="741"/>
      <c r="C419" s="685">
        <v>34897324</v>
      </c>
      <c r="D419" s="686">
        <v>1450.3299999999997</v>
      </c>
      <c r="E419" s="687">
        <v>1450.3299999999997</v>
      </c>
      <c r="F419" s="688">
        <f>E419/D419</f>
        <v>1</v>
      </c>
      <c r="L419" s="36">
        <v>120722</v>
      </c>
      <c r="M419" s="36">
        <f t="shared" si="59"/>
        <v>829.6619450000001</v>
      </c>
      <c r="N419" s="36">
        <v>35504</v>
      </c>
      <c r="O419" s="36">
        <f t="shared" si="60"/>
        <v>365.194144</v>
      </c>
      <c r="P419" s="36">
        <f t="shared" si="61"/>
        <v>1194.856089</v>
      </c>
      <c r="S419" s="1">
        <v>739.83</v>
      </c>
      <c r="T419" s="1">
        <v>254.06999999999996</v>
      </c>
      <c r="U419" s="1">
        <f t="shared" si="62"/>
        <v>993.9</v>
      </c>
    </row>
    <row r="420" spans="1:14" ht="15.75">
      <c r="A420" s="17"/>
      <c r="B420" s="53"/>
      <c r="C420" s="689"/>
      <c r="D420" s="193"/>
      <c r="E420" s="231"/>
      <c r="F420" s="377"/>
      <c r="N420" s="36"/>
    </row>
    <row r="421" spans="1:14" ht="15.75">
      <c r="A421" s="17"/>
      <c r="B421" s="53"/>
      <c r="C421" s="689"/>
      <c r="D421" s="193"/>
      <c r="E421" s="231"/>
      <c r="F421" s="377"/>
      <c r="N421" s="36"/>
    </row>
    <row r="422" spans="1:14" ht="15.75">
      <c r="A422" s="17"/>
      <c r="B422" s="53"/>
      <c r="C422" s="689"/>
      <c r="D422" s="193"/>
      <c r="E422" s="231"/>
      <c r="F422" s="377"/>
      <c r="N422" s="36"/>
    </row>
    <row r="423" spans="1:8" ht="15">
      <c r="A423" s="229" t="s">
        <v>114</v>
      </c>
      <c r="B423" s="229"/>
      <c r="C423" s="229"/>
      <c r="D423" s="229"/>
      <c r="E423" s="229"/>
      <c r="F423" s="229"/>
      <c r="G423" s="229"/>
      <c r="H423" s="36" t="s">
        <v>44</v>
      </c>
    </row>
    <row r="424" spans="1:3" ht="15.75" thickBot="1">
      <c r="A424" s="242" t="s">
        <v>115</v>
      </c>
      <c r="B424" s="2"/>
      <c r="C424" s="2"/>
    </row>
    <row r="425" spans="1:18" ht="44.25" customHeight="1" thickBot="1">
      <c r="A425" s="291" t="s">
        <v>9</v>
      </c>
      <c r="B425" s="292" t="s">
        <v>10</v>
      </c>
      <c r="C425" s="292" t="s">
        <v>279</v>
      </c>
      <c r="D425" s="292" t="s">
        <v>250</v>
      </c>
      <c r="E425" s="293" t="s">
        <v>186</v>
      </c>
      <c r="F425" s="292" t="s">
        <v>99</v>
      </c>
      <c r="G425" s="332" t="s">
        <v>100</v>
      </c>
      <c r="I425" s="800"/>
      <c r="J425" s="800"/>
      <c r="K425" s="800"/>
      <c r="L425" s="723" t="s">
        <v>13</v>
      </c>
      <c r="M425" s="723"/>
      <c r="N425" s="723"/>
      <c r="O425" s="289"/>
      <c r="P425" s="723" t="s">
        <v>191</v>
      </c>
      <c r="Q425" s="723"/>
      <c r="R425" s="723"/>
    </row>
    <row r="426" spans="1:18" ht="16.5" thickBot="1">
      <c r="A426" s="294">
        <v>1</v>
      </c>
      <c r="B426" s="295" t="s">
        <v>156</v>
      </c>
      <c r="C426" s="690">
        <v>73.53</v>
      </c>
      <c r="D426" s="690">
        <v>7.77</v>
      </c>
      <c r="E426" s="690">
        <v>68.03999999999999</v>
      </c>
      <c r="F426" s="333">
        <f>D426+E426</f>
        <v>75.80999999999999</v>
      </c>
      <c r="G426" s="314">
        <f aca="true" t="shared" si="63" ref="G426:G437">F426/C426</f>
        <v>1.0310077519379843</v>
      </c>
      <c r="L426" s="334">
        <v>26.01</v>
      </c>
      <c r="M426" s="334">
        <v>47.52</v>
      </c>
      <c r="N426" s="398">
        <f>SUM(L426:M426)</f>
        <v>73.53</v>
      </c>
      <c r="O426" s="36"/>
      <c r="P426" s="334">
        <v>3.85</v>
      </c>
      <c r="Q426" s="334">
        <v>3.92</v>
      </c>
      <c r="R426" s="398">
        <f>SUM(P426:Q426)</f>
        <v>7.77</v>
      </c>
    </row>
    <row r="427" spans="1:18" ht="16.5" thickBot="1">
      <c r="A427" s="232">
        <v>2</v>
      </c>
      <c r="B427" s="287" t="s">
        <v>157</v>
      </c>
      <c r="C427" s="691">
        <v>25.47</v>
      </c>
      <c r="D427" s="690">
        <v>2.1100000000000003</v>
      </c>
      <c r="E427" s="691">
        <v>23.21</v>
      </c>
      <c r="F427" s="334">
        <f aca="true" t="shared" si="64" ref="F427:F436">D427+E427</f>
        <v>25.32</v>
      </c>
      <c r="G427" s="288">
        <f t="shared" si="63"/>
        <v>0.994110718492344</v>
      </c>
      <c r="L427" s="334">
        <v>17.28</v>
      </c>
      <c r="M427" s="334">
        <v>8.19</v>
      </c>
      <c r="N427" s="398">
        <f aca="true" t="shared" si="65" ref="N427:N436">SUM(L427:M427)</f>
        <v>25.47</v>
      </c>
      <c r="O427" s="36"/>
      <c r="P427" s="334">
        <v>1.36</v>
      </c>
      <c r="Q427" s="334">
        <v>0.75</v>
      </c>
      <c r="R427" s="398">
        <f aca="true" t="shared" si="66" ref="R427:R436">SUM(P427:Q427)</f>
        <v>2.1100000000000003</v>
      </c>
    </row>
    <row r="428" spans="1:18" ht="16.5" thickBot="1">
      <c r="A428" s="232">
        <v>3</v>
      </c>
      <c r="B428" s="287" t="s">
        <v>158</v>
      </c>
      <c r="C428" s="691">
        <v>36.089999999999996</v>
      </c>
      <c r="D428" s="690">
        <v>3.8200000000000003</v>
      </c>
      <c r="E428" s="691">
        <v>31.819999999999997</v>
      </c>
      <c r="F428" s="334">
        <f t="shared" si="64"/>
        <v>35.64</v>
      </c>
      <c r="G428" s="288">
        <f t="shared" si="63"/>
        <v>0.9875311720698255</v>
      </c>
      <c r="L428" s="334">
        <v>23.22</v>
      </c>
      <c r="M428" s="334">
        <v>12.87</v>
      </c>
      <c r="N428" s="398">
        <f t="shared" si="65"/>
        <v>36.089999999999996</v>
      </c>
      <c r="O428" s="36"/>
      <c r="P428" s="334">
        <v>2.85</v>
      </c>
      <c r="Q428" s="334">
        <v>0.97</v>
      </c>
      <c r="R428" s="398">
        <f t="shared" si="66"/>
        <v>3.8200000000000003</v>
      </c>
    </row>
    <row r="429" spans="1:18" ht="16.5" thickBot="1">
      <c r="A429" s="232">
        <v>4</v>
      </c>
      <c r="B429" s="287" t="s">
        <v>159</v>
      </c>
      <c r="C429" s="691">
        <v>11.879999999999999</v>
      </c>
      <c r="D429" s="690">
        <v>1.4</v>
      </c>
      <c r="E429" s="691">
        <v>10.67</v>
      </c>
      <c r="F429" s="334">
        <f t="shared" si="64"/>
        <v>12.07</v>
      </c>
      <c r="G429" s="288">
        <f t="shared" si="63"/>
        <v>1.015993265993266</v>
      </c>
      <c r="L429" s="334">
        <v>7.56</v>
      </c>
      <c r="M429" s="334">
        <v>4.32</v>
      </c>
      <c r="N429" s="398">
        <f t="shared" si="65"/>
        <v>11.879999999999999</v>
      </c>
      <c r="O429" s="36"/>
      <c r="P429" s="334">
        <v>0.73</v>
      </c>
      <c r="Q429" s="334">
        <v>0.67</v>
      </c>
      <c r="R429" s="398">
        <f t="shared" si="66"/>
        <v>1.4</v>
      </c>
    </row>
    <row r="430" spans="1:18" ht="16.5" thickBot="1">
      <c r="A430" s="232">
        <v>5</v>
      </c>
      <c r="B430" s="287" t="s">
        <v>160</v>
      </c>
      <c r="C430" s="691">
        <v>44.37</v>
      </c>
      <c r="D430" s="690">
        <v>3.54</v>
      </c>
      <c r="E430" s="691">
        <v>40.17</v>
      </c>
      <c r="F430" s="334">
        <f t="shared" si="64"/>
        <v>43.71</v>
      </c>
      <c r="G430" s="288">
        <f t="shared" si="63"/>
        <v>0.9851250845165653</v>
      </c>
      <c r="L430" s="334">
        <v>30.06</v>
      </c>
      <c r="M430" s="334">
        <v>14.31</v>
      </c>
      <c r="N430" s="398">
        <f t="shared" si="65"/>
        <v>44.37</v>
      </c>
      <c r="O430" s="36"/>
      <c r="P430" s="334">
        <v>2.62</v>
      </c>
      <c r="Q430" s="334">
        <v>0.92</v>
      </c>
      <c r="R430" s="398">
        <f t="shared" si="66"/>
        <v>3.54</v>
      </c>
    </row>
    <row r="431" spans="1:18" ht="16.5" thickBot="1">
      <c r="A431" s="232">
        <v>6</v>
      </c>
      <c r="B431" s="287" t="s">
        <v>161</v>
      </c>
      <c r="C431" s="691">
        <v>49.86</v>
      </c>
      <c r="D431" s="690">
        <v>3.73</v>
      </c>
      <c r="E431" s="691">
        <v>45.72</v>
      </c>
      <c r="F431" s="334">
        <f t="shared" si="64"/>
        <v>49.449999999999996</v>
      </c>
      <c r="G431" s="288">
        <f t="shared" si="63"/>
        <v>0.9917769755314881</v>
      </c>
      <c r="L431" s="334">
        <v>37.89</v>
      </c>
      <c r="M431" s="334">
        <v>11.97</v>
      </c>
      <c r="N431" s="398">
        <f t="shared" si="65"/>
        <v>49.86</v>
      </c>
      <c r="O431" s="36"/>
      <c r="P431" s="334">
        <v>2.82</v>
      </c>
      <c r="Q431" s="334">
        <v>0.91</v>
      </c>
      <c r="R431" s="398">
        <f t="shared" si="66"/>
        <v>3.73</v>
      </c>
    </row>
    <row r="432" spans="1:18" ht="16.5" thickBot="1">
      <c r="A432" s="232">
        <v>7</v>
      </c>
      <c r="B432" s="287" t="s">
        <v>162</v>
      </c>
      <c r="C432" s="691">
        <v>26.82</v>
      </c>
      <c r="D432" s="690">
        <v>2.31</v>
      </c>
      <c r="E432" s="691">
        <v>24.34</v>
      </c>
      <c r="F432" s="334">
        <f t="shared" si="64"/>
        <v>26.65</v>
      </c>
      <c r="G432" s="288">
        <f t="shared" si="63"/>
        <v>0.9936614466815809</v>
      </c>
      <c r="L432" s="334">
        <v>18.09</v>
      </c>
      <c r="M432" s="334">
        <v>8.73</v>
      </c>
      <c r="N432" s="398">
        <f t="shared" si="65"/>
        <v>26.82</v>
      </c>
      <c r="O432" s="36"/>
      <c r="P432" s="334">
        <v>1.52</v>
      </c>
      <c r="Q432" s="334">
        <v>0.79</v>
      </c>
      <c r="R432" s="398">
        <f t="shared" si="66"/>
        <v>2.31</v>
      </c>
    </row>
    <row r="433" spans="1:18" ht="16.5" thickBot="1">
      <c r="A433" s="232">
        <v>8</v>
      </c>
      <c r="B433" s="287" t="s">
        <v>163</v>
      </c>
      <c r="C433" s="691">
        <v>37.8</v>
      </c>
      <c r="D433" s="690">
        <v>3.87</v>
      </c>
      <c r="E433" s="691">
        <v>33.43</v>
      </c>
      <c r="F433" s="334">
        <f t="shared" si="64"/>
        <v>37.3</v>
      </c>
      <c r="G433" s="288">
        <f t="shared" si="63"/>
        <v>0.9867724867724867</v>
      </c>
      <c r="L433" s="334">
        <v>24.57</v>
      </c>
      <c r="M433" s="334">
        <v>13.23</v>
      </c>
      <c r="N433" s="398">
        <f t="shared" si="65"/>
        <v>37.8</v>
      </c>
      <c r="O433" s="36"/>
      <c r="P433" s="334">
        <v>2.91</v>
      </c>
      <c r="Q433" s="334">
        <v>0.96</v>
      </c>
      <c r="R433" s="398">
        <f t="shared" si="66"/>
        <v>3.87</v>
      </c>
    </row>
    <row r="434" spans="1:18" ht="16.5" thickBot="1">
      <c r="A434" s="232">
        <v>9</v>
      </c>
      <c r="B434" s="287" t="s">
        <v>164</v>
      </c>
      <c r="C434" s="691">
        <v>49.14</v>
      </c>
      <c r="D434" s="690">
        <v>3.5700000000000003</v>
      </c>
      <c r="E434" s="691">
        <v>45.69</v>
      </c>
      <c r="F434" s="334">
        <f t="shared" si="64"/>
        <v>49.26</v>
      </c>
      <c r="G434" s="288">
        <f t="shared" si="63"/>
        <v>1.0024420024420024</v>
      </c>
      <c r="L434" s="334">
        <v>32.22</v>
      </c>
      <c r="M434" s="334">
        <v>16.92</v>
      </c>
      <c r="N434" s="398">
        <f t="shared" si="65"/>
        <v>49.14</v>
      </c>
      <c r="O434" s="36"/>
      <c r="P434" s="334">
        <v>2.62</v>
      </c>
      <c r="Q434" s="334">
        <v>0.95</v>
      </c>
      <c r="R434" s="398">
        <f t="shared" si="66"/>
        <v>3.5700000000000003</v>
      </c>
    </row>
    <row r="435" spans="1:18" ht="16.5" thickBot="1">
      <c r="A435" s="232">
        <v>10</v>
      </c>
      <c r="B435" s="287" t="s">
        <v>165</v>
      </c>
      <c r="C435" s="691">
        <v>16.380000000000003</v>
      </c>
      <c r="D435" s="690">
        <v>1.77</v>
      </c>
      <c r="E435" s="691">
        <v>14.71</v>
      </c>
      <c r="F435" s="334">
        <f t="shared" si="64"/>
        <v>16.48</v>
      </c>
      <c r="G435" s="288">
        <f t="shared" si="63"/>
        <v>1.006105006105006</v>
      </c>
      <c r="L435" s="334">
        <v>9.63</v>
      </c>
      <c r="M435" s="334">
        <v>6.75</v>
      </c>
      <c r="N435" s="398">
        <f t="shared" si="65"/>
        <v>16.380000000000003</v>
      </c>
      <c r="O435" s="36"/>
      <c r="P435" s="334">
        <v>0.92</v>
      </c>
      <c r="Q435" s="334">
        <v>0.85</v>
      </c>
      <c r="R435" s="398">
        <f t="shared" si="66"/>
        <v>1.77</v>
      </c>
    </row>
    <row r="436" spans="1:18" ht="16.5" thickBot="1">
      <c r="A436" s="296">
        <v>11</v>
      </c>
      <c r="B436" s="297" t="s">
        <v>166</v>
      </c>
      <c r="C436" s="692">
        <v>46.53</v>
      </c>
      <c r="D436" s="690">
        <v>3.35</v>
      </c>
      <c r="E436" s="692">
        <v>42.83</v>
      </c>
      <c r="F436" s="335">
        <f t="shared" si="64"/>
        <v>46.18</v>
      </c>
      <c r="G436" s="317">
        <f t="shared" si="63"/>
        <v>0.9924779712013754</v>
      </c>
      <c r="L436" s="334">
        <v>36.72</v>
      </c>
      <c r="M436" s="334">
        <v>9.81</v>
      </c>
      <c r="N436" s="398">
        <f t="shared" si="65"/>
        <v>46.53</v>
      </c>
      <c r="O436" s="36"/>
      <c r="P436" s="334">
        <v>2.62</v>
      </c>
      <c r="Q436" s="334">
        <v>0.73</v>
      </c>
      <c r="R436" s="398">
        <f t="shared" si="66"/>
        <v>3.35</v>
      </c>
    </row>
    <row r="437" spans="1:18" ht="15.75" thickBot="1">
      <c r="A437" s="302"/>
      <c r="B437" s="359" t="s">
        <v>20</v>
      </c>
      <c r="C437" s="336">
        <v>417.87</v>
      </c>
      <c r="D437" s="336">
        <v>37.24000000000001</v>
      </c>
      <c r="E437" s="336">
        <v>380.62999999999994</v>
      </c>
      <c r="F437" s="336">
        <f>SUM(F426:F436)</f>
        <v>417.87</v>
      </c>
      <c r="G437" s="298">
        <f t="shared" si="63"/>
        <v>1</v>
      </c>
      <c r="H437" s="26"/>
      <c r="I437" s="271"/>
      <c r="J437" s="271"/>
      <c r="K437" s="271"/>
      <c r="L437" s="228">
        <v>263.25</v>
      </c>
      <c r="M437" s="228">
        <v>154.62</v>
      </c>
      <c r="N437" s="228">
        <f>SUM(N426:N436)</f>
        <v>417.87</v>
      </c>
      <c r="O437" s="271"/>
      <c r="P437" s="228">
        <v>24.820000000000004</v>
      </c>
      <c r="Q437" s="228">
        <v>12.42</v>
      </c>
      <c r="R437" s="228">
        <f>SUM(R426:R436)</f>
        <v>37.24000000000001</v>
      </c>
    </row>
    <row r="439" spans="1:7" ht="15">
      <c r="A439" s="229" t="s">
        <v>116</v>
      </c>
      <c r="B439" s="229"/>
      <c r="C439" s="229"/>
      <c r="D439" s="229"/>
      <c r="E439" s="229"/>
      <c r="F439" s="229"/>
      <c r="G439" s="229"/>
    </row>
    <row r="440" spans="1:6" ht="15.75" thickBot="1">
      <c r="A440" s="230" t="s">
        <v>251</v>
      </c>
      <c r="B440" s="230"/>
      <c r="C440" s="230"/>
      <c r="D440" s="230"/>
      <c r="E440" s="230"/>
      <c r="F440" s="230"/>
    </row>
    <row r="441" spans="1:18" ht="57" customHeight="1" thickBot="1">
      <c r="A441" s="291" t="s">
        <v>9</v>
      </c>
      <c r="B441" s="292" t="s">
        <v>10</v>
      </c>
      <c r="C441" s="292" t="str">
        <f>C425</f>
        <v>Allocation for 2017-18                             </v>
      </c>
      <c r="D441" s="292" t="s">
        <v>101</v>
      </c>
      <c r="E441" s="293" t="s">
        <v>102</v>
      </c>
      <c r="F441" s="299" t="s">
        <v>103</v>
      </c>
      <c r="G441" s="760"/>
      <c r="H441" s="760"/>
      <c r="I441" s="760"/>
      <c r="L441" s="723" t="s">
        <v>195</v>
      </c>
      <c r="M441" s="723"/>
      <c r="N441" s="723"/>
      <c r="P441" s="723" t="s">
        <v>196</v>
      </c>
      <c r="Q441" s="723"/>
      <c r="R441" s="723"/>
    </row>
    <row r="442" spans="1:18" ht="15.75">
      <c r="A442" s="294">
        <v>1</v>
      </c>
      <c r="B442" s="295" t="s">
        <v>156</v>
      </c>
      <c r="C442" s="690">
        <v>73.53</v>
      </c>
      <c r="D442" s="333">
        <v>68.03999999999999</v>
      </c>
      <c r="E442" s="690">
        <v>77.13</v>
      </c>
      <c r="F442" s="337">
        <f>E442/C442</f>
        <v>1.0489596083231334</v>
      </c>
      <c r="G442" s="275"/>
      <c r="L442" s="334">
        <v>25.759999999999998</v>
      </c>
      <c r="M442" s="334">
        <v>42.28</v>
      </c>
      <c r="N442" s="398">
        <f>SUM(L442:M442)</f>
        <v>68.03999999999999</v>
      </c>
      <c r="P442" s="334">
        <v>32.9</v>
      </c>
      <c r="Q442" s="334">
        <v>52.800000000000004</v>
      </c>
      <c r="R442" s="398">
        <f>SUM(P442:Q442)</f>
        <v>85.7</v>
      </c>
    </row>
    <row r="443" spans="1:18" ht="15.75">
      <c r="A443" s="232">
        <v>2</v>
      </c>
      <c r="B443" s="287" t="s">
        <v>157</v>
      </c>
      <c r="C443" s="691">
        <v>25.47</v>
      </c>
      <c r="D443" s="334">
        <v>23.21</v>
      </c>
      <c r="E443" s="691">
        <v>25.47</v>
      </c>
      <c r="F443" s="338">
        <f aca="true" t="shared" si="67" ref="F443:F453">E443/C443</f>
        <v>1</v>
      </c>
      <c r="G443" s="275"/>
      <c r="L443" s="334">
        <v>15.920000000000002</v>
      </c>
      <c r="M443" s="334">
        <v>7.29</v>
      </c>
      <c r="N443" s="398">
        <f aca="true" t="shared" si="68" ref="N443:N452">SUM(L443:M443)</f>
        <v>23.21</v>
      </c>
      <c r="P443" s="334">
        <v>19.200000000000003</v>
      </c>
      <c r="Q443" s="334">
        <v>9.1</v>
      </c>
      <c r="R443" s="398">
        <f aca="true" t="shared" si="69" ref="R443:R452">SUM(P443:Q443)</f>
        <v>28.300000000000004</v>
      </c>
    </row>
    <row r="444" spans="1:18" ht="15.75">
      <c r="A444" s="232">
        <v>3</v>
      </c>
      <c r="B444" s="287" t="s">
        <v>158</v>
      </c>
      <c r="C444" s="691">
        <v>36.089999999999996</v>
      </c>
      <c r="D444" s="334">
        <v>31.819999999999997</v>
      </c>
      <c r="E444" s="691">
        <v>36.089999999999996</v>
      </c>
      <c r="F444" s="338">
        <f t="shared" si="67"/>
        <v>1</v>
      </c>
      <c r="G444" s="275"/>
      <c r="L444" s="334">
        <v>20.369999999999997</v>
      </c>
      <c r="M444" s="334">
        <v>11.45</v>
      </c>
      <c r="N444" s="398">
        <f t="shared" si="68"/>
        <v>31.819999999999997</v>
      </c>
      <c r="P444" s="334">
        <v>25.799999999999997</v>
      </c>
      <c r="Q444" s="334">
        <v>14.299999999999999</v>
      </c>
      <c r="R444" s="398">
        <f t="shared" si="69"/>
        <v>40.099999999999994</v>
      </c>
    </row>
    <row r="445" spans="1:18" ht="15.75">
      <c r="A445" s="232">
        <v>4</v>
      </c>
      <c r="B445" s="287" t="s">
        <v>159</v>
      </c>
      <c r="C445" s="691">
        <v>11.879999999999999</v>
      </c>
      <c r="D445" s="334">
        <v>10.67</v>
      </c>
      <c r="E445" s="691">
        <v>11.879999999999999</v>
      </c>
      <c r="F445" s="338">
        <f t="shared" si="67"/>
        <v>1</v>
      </c>
      <c r="G445" s="275"/>
      <c r="L445" s="334">
        <v>6.83</v>
      </c>
      <c r="M445" s="334">
        <v>3.84</v>
      </c>
      <c r="N445" s="398">
        <f t="shared" si="68"/>
        <v>10.67</v>
      </c>
      <c r="P445" s="334">
        <v>8.4</v>
      </c>
      <c r="Q445" s="334">
        <v>4.800000000000001</v>
      </c>
      <c r="R445" s="398">
        <f t="shared" si="69"/>
        <v>13.200000000000001</v>
      </c>
    </row>
    <row r="446" spans="1:18" ht="15.75">
      <c r="A446" s="232">
        <v>5</v>
      </c>
      <c r="B446" s="287" t="s">
        <v>160</v>
      </c>
      <c r="C446" s="691">
        <v>44.37</v>
      </c>
      <c r="D446" s="334">
        <v>40.17</v>
      </c>
      <c r="E446" s="691">
        <v>44.37</v>
      </c>
      <c r="F446" s="338">
        <f t="shared" si="67"/>
        <v>1</v>
      </c>
      <c r="G446" s="275"/>
      <c r="L446" s="334">
        <v>27.439999999999998</v>
      </c>
      <c r="M446" s="334">
        <v>12.73</v>
      </c>
      <c r="N446" s="398">
        <f t="shared" si="68"/>
        <v>40.17</v>
      </c>
      <c r="P446" s="334">
        <v>33.4</v>
      </c>
      <c r="Q446" s="334">
        <v>15.9</v>
      </c>
      <c r="R446" s="398">
        <f t="shared" si="69"/>
        <v>49.3</v>
      </c>
    </row>
    <row r="447" spans="1:18" ht="15.75">
      <c r="A447" s="232">
        <v>6</v>
      </c>
      <c r="B447" s="287" t="s">
        <v>161</v>
      </c>
      <c r="C447" s="691">
        <v>49.86</v>
      </c>
      <c r="D447" s="334">
        <v>45.72</v>
      </c>
      <c r="E447" s="691">
        <v>49.86</v>
      </c>
      <c r="F447" s="338">
        <f t="shared" si="67"/>
        <v>1</v>
      </c>
      <c r="G447" s="275"/>
      <c r="L447" s="334">
        <v>35.07</v>
      </c>
      <c r="M447" s="334">
        <v>10.65</v>
      </c>
      <c r="N447" s="398">
        <f t="shared" si="68"/>
        <v>45.72</v>
      </c>
      <c r="P447" s="334">
        <v>42.1</v>
      </c>
      <c r="Q447" s="334">
        <v>13.3</v>
      </c>
      <c r="R447" s="398">
        <f t="shared" si="69"/>
        <v>55.400000000000006</v>
      </c>
    </row>
    <row r="448" spans="1:18" ht="15.75">
      <c r="A448" s="232">
        <v>7</v>
      </c>
      <c r="B448" s="287" t="s">
        <v>162</v>
      </c>
      <c r="C448" s="691">
        <v>26.82</v>
      </c>
      <c r="D448" s="334">
        <v>24.34</v>
      </c>
      <c r="E448" s="691">
        <v>26.82</v>
      </c>
      <c r="F448" s="338">
        <f t="shared" si="67"/>
        <v>1</v>
      </c>
      <c r="G448" s="275"/>
      <c r="L448" s="334">
        <v>16.57</v>
      </c>
      <c r="M448" s="334">
        <v>7.77</v>
      </c>
      <c r="N448" s="398">
        <f t="shared" si="68"/>
        <v>24.34</v>
      </c>
      <c r="P448" s="334">
        <v>20.1</v>
      </c>
      <c r="Q448" s="334">
        <v>9.700000000000001</v>
      </c>
      <c r="R448" s="398">
        <f t="shared" si="69"/>
        <v>29.800000000000004</v>
      </c>
    </row>
    <row r="449" spans="1:18" ht="15.75">
      <c r="A449" s="232">
        <v>8</v>
      </c>
      <c r="B449" s="287" t="s">
        <v>163</v>
      </c>
      <c r="C449" s="691">
        <v>37.8</v>
      </c>
      <c r="D449" s="334">
        <v>33.43</v>
      </c>
      <c r="E449" s="691">
        <v>37.8</v>
      </c>
      <c r="F449" s="338">
        <f t="shared" si="67"/>
        <v>1</v>
      </c>
      <c r="G449" s="275"/>
      <c r="L449" s="334">
        <v>21.66</v>
      </c>
      <c r="M449" s="334">
        <v>11.77</v>
      </c>
      <c r="N449" s="398">
        <f t="shared" si="68"/>
        <v>33.43</v>
      </c>
      <c r="P449" s="334">
        <v>27.3</v>
      </c>
      <c r="Q449" s="334">
        <v>14.700000000000001</v>
      </c>
      <c r="R449" s="398">
        <f t="shared" si="69"/>
        <v>42</v>
      </c>
    </row>
    <row r="450" spans="1:18" ht="15.75">
      <c r="A450" s="232">
        <v>9</v>
      </c>
      <c r="B450" s="287" t="s">
        <v>164</v>
      </c>
      <c r="C450" s="691">
        <v>49.14</v>
      </c>
      <c r="D450" s="334">
        <v>45.69</v>
      </c>
      <c r="E450" s="691">
        <v>50.22</v>
      </c>
      <c r="F450" s="338">
        <f t="shared" si="67"/>
        <v>1.021978021978022</v>
      </c>
      <c r="G450" s="275"/>
      <c r="L450" s="334">
        <v>30.319999999999997</v>
      </c>
      <c r="M450" s="334">
        <v>15.37</v>
      </c>
      <c r="N450" s="398">
        <f t="shared" si="68"/>
        <v>45.69</v>
      </c>
      <c r="P450" s="334">
        <v>36.599999999999994</v>
      </c>
      <c r="Q450" s="334">
        <v>19.200000000000003</v>
      </c>
      <c r="R450" s="398">
        <f t="shared" si="69"/>
        <v>55.8</v>
      </c>
    </row>
    <row r="451" spans="1:18" ht="15.75">
      <c r="A451" s="232">
        <v>10</v>
      </c>
      <c r="B451" s="287" t="s">
        <v>165</v>
      </c>
      <c r="C451" s="691">
        <v>16.380000000000003</v>
      </c>
      <c r="D451" s="334">
        <v>14.71</v>
      </c>
      <c r="E451" s="691">
        <v>16.380000000000003</v>
      </c>
      <c r="F451" s="338">
        <f t="shared" si="67"/>
        <v>1</v>
      </c>
      <c r="G451" s="275"/>
      <c r="L451" s="334">
        <v>8.71</v>
      </c>
      <c r="M451" s="334">
        <v>6</v>
      </c>
      <c r="N451" s="398">
        <f t="shared" si="68"/>
        <v>14.71</v>
      </c>
      <c r="P451" s="334">
        <v>10.700000000000001</v>
      </c>
      <c r="Q451" s="334">
        <v>7.5</v>
      </c>
      <c r="R451" s="398">
        <f t="shared" si="69"/>
        <v>18.200000000000003</v>
      </c>
    </row>
    <row r="452" spans="1:18" ht="16.5" thickBot="1">
      <c r="A452" s="296">
        <v>11</v>
      </c>
      <c r="B452" s="297" t="s">
        <v>166</v>
      </c>
      <c r="C452" s="692">
        <v>46.53</v>
      </c>
      <c r="D452" s="335">
        <v>42.83</v>
      </c>
      <c r="E452" s="692">
        <v>46.53</v>
      </c>
      <c r="F452" s="339">
        <f t="shared" si="67"/>
        <v>1</v>
      </c>
      <c r="G452" s="275"/>
      <c r="L452" s="334">
        <v>34.1</v>
      </c>
      <c r="M452" s="334">
        <v>8.73</v>
      </c>
      <c r="N452" s="398">
        <f t="shared" si="68"/>
        <v>42.83</v>
      </c>
      <c r="P452" s="334">
        <v>40.8</v>
      </c>
      <c r="Q452" s="334">
        <v>10.9</v>
      </c>
      <c r="R452" s="398">
        <f t="shared" si="69"/>
        <v>51.699999999999996</v>
      </c>
    </row>
    <row r="453" spans="1:18" s="2" customFormat="1" ht="15.75" thickBot="1">
      <c r="A453" s="302"/>
      <c r="B453" s="303" t="s">
        <v>20</v>
      </c>
      <c r="C453" s="336">
        <v>417.87</v>
      </c>
      <c r="D453" s="336">
        <v>380.63</v>
      </c>
      <c r="E453" s="336">
        <v>422.55</v>
      </c>
      <c r="F453" s="340">
        <f t="shared" si="67"/>
        <v>1.0111996553952187</v>
      </c>
      <c r="G453" s="274"/>
      <c r="H453" s="274"/>
      <c r="I453" s="274"/>
      <c r="J453" s="71"/>
      <c r="K453" s="71"/>
      <c r="L453" s="228">
        <v>242.74999999999997</v>
      </c>
      <c r="M453" s="228">
        <v>137.88</v>
      </c>
      <c r="N453" s="228">
        <f>SUM(N442:N452)</f>
        <v>380.62999999999994</v>
      </c>
      <c r="P453" s="228">
        <v>297.3</v>
      </c>
      <c r="Q453" s="228">
        <v>172.20000000000002</v>
      </c>
      <c r="R453" s="228">
        <f>SUM(R442:R452)</f>
        <v>469.5</v>
      </c>
    </row>
    <row r="454" spans="1:7" ht="15.75">
      <c r="A454" s="17"/>
      <c r="B454" s="53"/>
      <c r="C454" s="668"/>
      <c r="D454" s="178"/>
      <c r="F454" s="99"/>
      <c r="G454" s="19"/>
    </row>
    <row r="455" spans="1:3" ht="15">
      <c r="A455" s="229" t="s">
        <v>117</v>
      </c>
      <c r="B455" s="229"/>
      <c r="C455" s="229"/>
    </row>
    <row r="456" spans="1:3" ht="15.75" thickBot="1">
      <c r="A456" s="230" t="s">
        <v>251</v>
      </c>
      <c r="B456" s="230"/>
      <c r="C456" s="2"/>
    </row>
    <row r="457" spans="1:13" ht="65.25" customHeight="1" thickBot="1">
      <c r="A457" s="291" t="s">
        <v>9</v>
      </c>
      <c r="B457" s="292" t="s">
        <v>10</v>
      </c>
      <c r="C457" s="292" t="str">
        <f>C441</f>
        <v>Allocation for 2017-18                             </v>
      </c>
      <c r="D457" s="292" t="s">
        <v>101</v>
      </c>
      <c r="E457" s="293" t="s">
        <v>280</v>
      </c>
      <c r="F457" s="316" t="s">
        <v>281</v>
      </c>
      <c r="G457" s="761"/>
      <c r="H457" s="762"/>
      <c r="I457" s="762"/>
      <c r="L457" s="724"/>
      <c r="M457" s="724"/>
    </row>
    <row r="458" spans="1:7" ht="15.75">
      <c r="A458" s="294">
        <v>1</v>
      </c>
      <c r="B458" s="295" t="s">
        <v>156</v>
      </c>
      <c r="C458" s="690">
        <v>73.53</v>
      </c>
      <c r="D458" s="333">
        <v>68.03999999999999</v>
      </c>
      <c r="E458" s="690">
        <v>-1.3200000000000003</v>
      </c>
      <c r="F458" s="314">
        <f>E458/C458</f>
        <v>-0.017951856385148922</v>
      </c>
      <c r="G458" s="43"/>
    </row>
    <row r="459" spans="1:7" ht="15.75">
      <c r="A459" s="232">
        <v>2</v>
      </c>
      <c r="B459" s="287" t="s">
        <v>157</v>
      </c>
      <c r="C459" s="691">
        <v>25.47</v>
      </c>
      <c r="D459" s="334">
        <v>23.21</v>
      </c>
      <c r="E459" s="691">
        <v>-0.15000000000000036</v>
      </c>
      <c r="F459" s="288">
        <f aca="true" t="shared" si="70" ref="F459:F469">E459/C459</f>
        <v>-0.00588928150765608</v>
      </c>
      <c r="G459" s="43"/>
    </row>
    <row r="460" spans="1:7" ht="15.75">
      <c r="A460" s="232">
        <v>3</v>
      </c>
      <c r="B460" s="287" t="s">
        <v>158</v>
      </c>
      <c r="C460" s="691">
        <v>36.089999999999996</v>
      </c>
      <c r="D460" s="334">
        <v>31.819999999999997</v>
      </c>
      <c r="E460" s="691">
        <v>-0.4499999999999993</v>
      </c>
      <c r="F460" s="288">
        <f t="shared" si="70"/>
        <v>-0.012468827930174545</v>
      </c>
      <c r="G460" s="43"/>
    </row>
    <row r="461" spans="1:7" ht="15.75">
      <c r="A461" s="232">
        <v>4</v>
      </c>
      <c r="B461" s="287" t="s">
        <v>159</v>
      </c>
      <c r="C461" s="691">
        <v>11.879999999999999</v>
      </c>
      <c r="D461" s="334">
        <v>10.67</v>
      </c>
      <c r="E461" s="691">
        <v>0.1899999999999995</v>
      </c>
      <c r="F461" s="288">
        <f t="shared" si="70"/>
        <v>0.01599326599326595</v>
      </c>
      <c r="G461" s="43"/>
    </row>
    <row r="462" spans="1:7" ht="15.75">
      <c r="A462" s="232">
        <v>5</v>
      </c>
      <c r="B462" s="287" t="s">
        <v>160</v>
      </c>
      <c r="C462" s="691">
        <v>44.37</v>
      </c>
      <c r="D462" s="334">
        <v>40.17</v>
      </c>
      <c r="E462" s="691">
        <v>-0.6600000000000001</v>
      </c>
      <c r="F462" s="288">
        <f t="shared" si="70"/>
        <v>-0.014874915483434756</v>
      </c>
      <c r="G462" s="43"/>
    </row>
    <row r="463" spans="1:7" ht="15.75">
      <c r="A463" s="232">
        <v>6</v>
      </c>
      <c r="B463" s="287" t="s">
        <v>161</v>
      </c>
      <c r="C463" s="691">
        <v>49.86</v>
      </c>
      <c r="D463" s="334">
        <v>45.72</v>
      </c>
      <c r="E463" s="691">
        <v>-0.41000000000000014</v>
      </c>
      <c r="F463" s="288">
        <f t="shared" si="70"/>
        <v>-0.008223024468511836</v>
      </c>
      <c r="G463" s="43"/>
    </row>
    <row r="464" spans="1:7" ht="15.75">
      <c r="A464" s="232">
        <v>7</v>
      </c>
      <c r="B464" s="287" t="s">
        <v>162</v>
      </c>
      <c r="C464" s="691">
        <v>26.82</v>
      </c>
      <c r="D464" s="334">
        <v>24.34</v>
      </c>
      <c r="E464" s="691">
        <v>-0.1700000000000017</v>
      </c>
      <c r="F464" s="288">
        <f t="shared" si="70"/>
        <v>-0.006338553318419154</v>
      </c>
      <c r="G464" s="43"/>
    </row>
    <row r="465" spans="1:7" ht="15.75">
      <c r="A465" s="232">
        <v>8</v>
      </c>
      <c r="B465" s="287" t="s">
        <v>163</v>
      </c>
      <c r="C465" s="691">
        <v>37.8</v>
      </c>
      <c r="D465" s="334">
        <v>33.43</v>
      </c>
      <c r="E465" s="691">
        <v>-0.5</v>
      </c>
      <c r="F465" s="288">
        <f t="shared" si="70"/>
        <v>-0.013227513227513229</v>
      </c>
      <c r="G465" s="43"/>
    </row>
    <row r="466" spans="1:7" ht="15.75">
      <c r="A466" s="232">
        <v>9</v>
      </c>
      <c r="B466" s="287" t="s">
        <v>164</v>
      </c>
      <c r="C466" s="691">
        <v>49.14</v>
      </c>
      <c r="D466" s="334">
        <v>45.69</v>
      </c>
      <c r="E466" s="691">
        <v>-0.9600000000000009</v>
      </c>
      <c r="F466" s="288">
        <f t="shared" si="70"/>
        <v>-0.019536019536019553</v>
      </c>
      <c r="G466" s="43"/>
    </row>
    <row r="467" spans="1:7" ht="15.75">
      <c r="A467" s="232">
        <v>10</v>
      </c>
      <c r="B467" s="287" t="s">
        <v>165</v>
      </c>
      <c r="C467" s="691">
        <v>16.380000000000003</v>
      </c>
      <c r="D467" s="334">
        <v>14.71</v>
      </c>
      <c r="E467" s="691">
        <v>0.09999999999999964</v>
      </c>
      <c r="F467" s="288">
        <f t="shared" si="70"/>
        <v>0.0061050061050060824</v>
      </c>
      <c r="G467" s="43"/>
    </row>
    <row r="468" spans="1:7" ht="16.5" thickBot="1">
      <c r="A468" s="296">
        <v>11</v>
      </c>
      <c r="B468" s="297" t="s">
        <v>166</v>
      </c>
      <c r="C468" s="692">
        <v>46.53</v>
      </c>
      <c r="D468" s="335">
        <v>42.83</v>
      </c>
      <c r="E468" s="692">
        <v>-0.34999999999999964</v>
      </c>
      <c r="F468" s="317">
        <f t="shared" si="70"/>
        <v>-0.0075220287986245355</v>
      </c>
      <c r="G468" s="43"/>
    </row>
    <row r="469" spans="1:15" ht="15.75" customHeight="1" thickBot="1">
      <c r="A469" s="306"/>
      <c r="B469" s="307" t="s">
        <v>20</v>
      </c>
      <c r="C469" s="341">
        <v>417.87</v>
      </c>
      <c r="D469" s="341">
        <v>380.63</v>
      </c>
      <c r="E469" s="341">
        <v>-4.680000000000003</v>
      </c>
      <c r="F469" s="315">
        <f t="shared" si="70"/>
        <v>-0.011199655395218616</v>
      </c>
      <c r="G469" s="168"/>
      <c r="H469" s="168"/>
      <c r="I469" s="168"/>
      <c r="J469" s="26"/>
      <c r="K469" s="26"/>
      <c r="L469" s="26"/>
      <c r="M469" s="26"/>
      <c r="N469" s="20"/>
      <c r="O469" s="20"/>
    </row>
    <row r="470" spans="1:7" ht="15.75">
      <c r="A470" s="715" t="s">
        <v>118</v>
      </c>
      <c r="B470" s="715"/>
      <c r="C470" s="715"/>
      <c r="D470" s="715"/>
      <c r="E470" s="715"/>
      <c r="G470" s="26"/>
    </row>
    <row r="472" spans="1:13" s="239" customFormat="1" ht="15.75" thickBot="1">
      <c r="A472" s="242" t="s">
        <v>252</v>
      </c>
      <c r="E472" s="243"/>
      <c r="G472" s="238"/>
      <c r="H472" s="238"/>
      <c r="I472" s="238"/>
      <c r="J472" s="238"/>
      <c r="K472" s="238"/>
      <c r="L472" s="238"/>
      <c r="M472" s="238"/>
    </row>
    <row r="473" spans="1:6" ht="29.25" customHeight="1">
      <c r="A473" s="116" t="s">
        <v>3</v>
      </c>
      <c r="B473" s="117"/>
      <c r="C473" s="117" t="s">
        <v>4</v>
      </c>
      <c r="D473" s="117" t="s">
        <v>5</v>
      </c>
      <c r="E473" s="207" t="s">
        <v>6</v>
      </c>
      <c r="F473" s="118" t="s">
        <v>7</v>
      </c>
    </row>
    <row r="474" spans="1:6" ht="15">
      <c r="A474" s="148">
        <v>1</v>
      </c>
      <c r="B474" s="139">
        <v>2</v>
      </c>
      <c r="C474" s="139">
        <v>3</v>
      </c>
      <c r="D474" s="189">
        <v>4</v>
      </c>
      <c r="E474" s="206" t="s">
        <v>8</v>
      </c>
      <c r="F474" s="149">
        <v>6</v>
      </c>
    </row>
    <row r="475" spans="1:7" ht="27">
      <c r="A475" s="145">
        <v>1</v>
      </c>
      <c r="B475" s="693" t="s">
        <v>250</v>
      </c>
      <c r="C475" s="450">
        <v>0</v>
      </c>
      <c r="D475" s="89">
        <v>0</v>
      </c>
      <c r="E475" s="88">
        <f>D475-C475</f>
        <v>0</v>
      </c>
      <c r="F475" s="158">
        <v>0</v>
      </c>
      <c r="G475" s="71"/>
    </row>
    <row r="476" spans="1:7" ht="15">
      <c r="A476" s="145">
        <v>2</v>
      </c>
      <c r="B476" s="15" t="s">
        <v>267</v>
      </c>
      <c r="C476" s="450">
        <v>37.51</v>
      </c>
      <c r="D476" s="101">
        <v>37.51</v>
      </c>
      <c r="E476" s="88">
        <f>D476-C476</f>
        <v>0</v>
      </c>
      <c r="F476" s="158">
        <f>E476/D476</f>
        <v>0</v>
      </c>
      <c r="G476" s="71"/>
    </row>
    <row r="477" spans="1:7" ht="27">
      <c r="A477" s="145">
        <v>3</v>
      </c>
      <c r="B477" s="693" t="s">
        <v>282</v>
      </c>
      <c r="C477" s="433">
        <v>36.7</v>
      </c>
      <c r="D477" s="89">
        <v>36.7</v>
      </c>
      <c r="E477" s="88">
        <f>D477-C477</f>
        <v>0</v>
      </c>
      <c r="F477" s="158">
        <f>E477/D477</f>
        <v>0</v>
      </c>
      <c r="G477" s="71"/>
    </row>
    <row r="478" spans="1:7" ht="15.75" thickBot="1">
      <c r="A478" s="159">
        <v>4</v>
      </c>
      <c r="B478" s="146" t="s">
        <v>30</v>
      </c>
      <c r="C478" s="147">
        <f>C475+C477</f>
        <v>36.7</v>
      </c>
      <c r="D478" s="259">
        <f>D475+D477</f>
        <v>36.7</v>
      </c>
      <c r="E478" s="420">
        <f>D478-C478</f>
        <v>0</v>
      </c>
      <c r="F478" s="132">
        <f>SUM(F475:F477)</f>
        <v>0</v>
      </c>
      <c r="G478" s="71"/>
    </row>
    <row r="479" spans="8:15" ht="12" customHeight="1">
      <c r="H479" s="694"/>
      <c r="I479" s="694"/>
      <c r="J479" s="694"/>
      <c r="K479" s="694"/>
      <c r="L479" s="694"/>
      <c r="M479" s="694"/>
      <c r="N479" s="694"/>
      <c r="O479" s="694"/>
    </row>
    <row r="480" spans="8:15" ht="12" customHeight="1">
      <c r="H480" s="694"/>
      <c r="I480" s="694"/>
      <c r="J480" s="694"/>
      <c r="K480" s="694"/>
      <c r="L480" s="694"/>
      <c r="M480" s="694"/>
      <c r="N480" s="694"/>
      <c r="O480" s="694"/>
    </row>
    <row r="481" spans="8:15" ht="12" customHeight="1">
      <c r="H481" s="694"/>
      <c r="I481" s="694"/>
      <c r="J481" s="694"/>
      <c r="K481" s="694"/>
      <c r="L481" s="694"/>
      <c r="M481" s="694"/>
      <c r="N481" s="694"/>
      <c r="O481" s="694"/>
    </row>
    <row r="482" spans="8:15" ht="12" customHeight="1">
      <c r="H482" s="694"/>
      <c r="I482" s="694"/>
      <c r="J482" s="694"/>
      <c r="K482" s="694"/>
      <c r="L482" s="694"/>
      <c r="M482" s="694"/>
      <c r="N482" s="694"/>
      <c r="O482" s="694"/>
    </row>
    <row r="483" spans="1:15" s="239" customFormat="1" ht="15.75" thickBot="1">
      <c r="A483" s="242" t="s">
        <v>259</v>
      </c>
      <c r="D483" s="239" t="s">
        <v>28</v>
      </c>
      <c r="E483" s="773" t="s">
        <v>283</v>
      </c>
      <c r="F483" s="773"/>
      <c r="G483" s="238"/>
      <c r="H483" s="695"/>
      <c r="I483" s="696"/>
      <c r="J483" s="696"/>
      <c r="K483" s="517"/>
      <c r="L483" s="697"/>
      <c r="M483" s="697"/>
      <c r="N483" s="697"/>
      <c r="O483" s="697"/>
    </row>
    <row r="484" spans="1:15" ht="30">
      <c r="A484" s="138" t="s">
        <v>3</v>
      </c>
      <c r="B484" s="131" t="s">
        <v>36</v>
      </c>
      <c r="C484" s="131" t="s">
        <v>258</v>
      </c>
      <c r="D484" s="131" t="s">
        <v>105</v>
      </c>
      <c r="E484" s="215" t="s">
        <v>106</v>
      </c>
      <c r="F484" s="131" t="s">
        <v>37</v>
      </c>
      <c r="G484" s="137" t="s">
        <v>38</v>
      </c>
      <c r="H484" s="698"/>
      <c r="I484" s="698"/>
      <c r="J484" s="698"/>
      <c r="K484" s="698"/>
      <c r="L484" s="698"/>
      <c r="M484" s="698"/>
      <c r="N484" s="17"/>
      <c r="O484" s="17"/>
    </row>
    <row r="485" spans="1:15" s="20" customFormat="1" ht="15">
      <c r="A485" s="155">
        <v>1</v>
      </c>
      <c r="B485" s="156">
        <v>2</v>
      </c>
      <c r="C485" s="156">
        <v>3</v>
      </c>
      <c r="D485" s="195">
        <v>4</v>
      </c>
      <c r="E485" s="283">
        <v>5</v>
      </c>
      <c r="F485" s="156">
        <v>6</v>
      </c>
      <c r="G485" s="157">
        <v>7</v>
      </c>
      <c r="H485" s="697"/>
      <c r="I485" s="697"/>
      <c r="J485" s="697"/>
      <c r="K485" s="697"/>
      <c r="L485" s="697"/>
      <c r="M485" s="697"/>
      <c r="N485" s="697"/>
      <c r="O485" s="697"/>
    </row>
    <row r="486" spans="1:13" s="20" customFormat="1" ht="30">
      <c r="A486" s="150">
        <v>1</v>
      </c>
      <c r="B486" s="121" t="s">
        <v>39</v>
      </c>
      <c r="C486" s="286">
        <v>18.2</v>
      </c>
      <c r="D486" s="286">
        <v>17.91</v>
      </c>
      <c r="E486" s="516">
        <v>17.67</v>
      </c>
      <c r="F486" s="122">
        <f>E486/C486</f>
        <v>0.970879120879121</v>
      </c>
      <c r="G486" s="151">
        <v>0.24</v>
      </c>
      <c r="H486" s="26"/>
      <c r="I486" s="26"/>
      <c r="J486" s="26"/>
      <c r="K486" s="26"/>
      <c r="L486" s="26"/>
      <c r="M486" s="26"/>
    </row>
    <row r="487" spans="1:13" s="20" customFormat="1" ht="15">
      <c r="A487" s="786">
        <v>2</v>
      </c>
      <c r="B487" s="788" t="s">
        <v>104</v>
      </c>
      <c r="C487" s="754">
        <v>19.31</v>
      </c>
      <c r="D487" s="754">
        <v>18.91</v>
      </c>
      <c r="E487" s="756">
        <v>18.29</v>
      </c>
      <c r="F487" s="758">
        <f>E487/C487</f>
        <v>0.9471776281719316</v>
      </c>
      <c r="G487" s="782">
        <v>0.5</v>
      </c>
      <c r="H487" s="26"/>
      <c r="I487" s="26"/>
      <c r="J487" s="26"/>
      <c r="K487" s="26"/>
      <c r="L487" s="26"/>
      <c r="M487" s="26"/>
    </row>
    <row r="488" spans="1:13" s="20" customFormat="1" ht="14.25" customHeight="1">
      <c r="A488" s="787"/>
      <c r="B488" s="789"/>
      <c r="C488" s="755"/>
      <c r="D488" s="755"/>
      <c r="E488" s="757"/>
      <c r="F488" s="759"/>
      <c r="G488" s="783"/>
      <c r="H488" s="26"/>
      <c r="I488" s="26"/>
      <c r="J488" s="26"/>
      <c r="K488" s="26"/>
      <c r="L488" s="26"/>
      <c r="M488" s="26"/>
    </row>
    <row r="489" spans="1:13" s="20" customFormat="1" ht="15.75" thickBot="1">
      <c r="A489" s="784" t="s">
        <v>20</v>
      </c>
      <c r="B489" s="785"/>
      <c r="C489" s="152">
        <f>SUM(C486:C488)</f>
        <v>37.51</v>
      </c>
      <c r="D489" s="448">
        <f>D478</f>
        <v>36.7</v>
      </c>
      <c r="E489" s="260">
        <f>SUM(E486:E488)</f>
        <v>35.96</v>
      </c>
      <c r="F489" s="153">
        <f>E489/C489</f>
        <v>0.9586776859504132</v>
      </c>
      <c r="G489" s="154">
        <f>D489-E489</f>
        <v>0.740000000000002</v>
      </c>
      <c r="H489" s="26"/>
      <c r="I489" s="26"/>
      <c r="J489" s="26"/>
      <c r="K489" s="26"/>
      <c r="L489" s="26"/>
      <c r="M489" s="26"/>
    </row>
    <row r="490" spans="1:15" s="20" customFormat="1" ht="15">
      <c r="A490" s="170"/>
      <c r="B490" s="1"/>
      <c r="C490" s="1"/>
      <c r="D490" s="170"/>
      <c r="E490" s="9"/>
      <c r="F490" s="1"/>
      <c r="G490" s="26"/>
      <c r="H490" s="81"/>
      <c r="I490" s="81"/>
      <c r="J490" s="81"/>
      <c r="K490" s="81"/>
      <c r="L490" s="81"/>
      <c r="M490" s="81"/>
      <c r="N490" s="44"/>
      <c r="O490" s="44"/>
    </row>
    <row r="491" spans="1:15" s="236" customFormat="1" ht="15.75">
      <c r="A491" s="715" t="s">
        <v>119</v>
      </c>
      <c r="B491" s="715"/>
      <c r="C491" s="715"/>
      <c r="D491" s="715"/>
      <c r="E491" s="715"/>
      <c r="F491" s="715"/>
      <c r="G491" s="244"/>
      <c r="H491" s="248"/>
      <c r="I491" s="248"/>
      <c r="J491" s="248"/>
      <c r="K491" s="248"/>
      <c r="L491" s="248"/>
      <c r="M491" s="248"/>
      <c r="N491" s="249"/>
      <c r="O491" s="249"/>
    </row>
    <row r="492" spans="1:7" s="246" customFormat="1" ht="15.75" thickBot="1">
      <c r="A492" s="242" t="s">
        <v>243</v>
      </c>
      <c r="B492" s="239"/>
      <c r="C492" s="239"/>
      <c r="D492" s="239"/>
      <c r="E492" s="243"/>
      <c r="F492" s="239"/>
      <c r="G492" s="238"/>
    </row>
    <row r="493" spans="1:13" s="20" customFormat="1" ht="15">
      <c r="A493" s="133" t="s">
        <v>3</v>
      </c>
      <c r="B493" s="134" t="s">
        <v>145</v>
      </c>
      <c r="C493" s="134" t="s">
        <v>4</v>
      </c>
      <c r="D493" s="134" t="s">
        <v>5</v>
      </c>
      <c r="E493" s="135" t="s">
        <v>6</v>
      </c>
      <c r="F493" s="136" t="s">
        <v>7</v>
      </c>
      <c r="G493" s="36"/>
      <c r="H493" s="26"/>
      <c r="I493" s="26"/>
      <c r="J493" s="26"/>
      <c r="K493" s="26"/>
      <c r="L493" s="26"/>
      <c r="M493" s="26"/>
    </row>
    <row r="494" spans="1:12" s="20" customFormat="1" ht="15">
      <c r="A494" s="148">
        <v>1</v>
      </c>
      <c r="B494" s="139">
        <v>2</v>
      </c>
      <c r="C494" s="139">
        <v>3</v>
      </c>
      <c r="D494" s="189">
        <v>4</v>
      </c>
      <c r="E494" s="206" t="s">
        <v>8</v>
      </c>
      <c r="F494" s="149">
        <v>6</v>
      </c>
      <c r="G494" s="36"/>
      <c r="H494" s="141"/>
      <c r="I494" s="82"/>
      <c r="J494" s="82"/>
      <c r="K494" s="517"/>
      <c r="L494" s="26"/>
    </row>
    <row r="495" spans="1:13" s="20" customFormat="1" ht="30">
      <c r="A495" s="119">
        <v>1</v>
      </c>
      <c r="B495" s="15" t="s">
        <v>250</v>
      </c>
      <c r="C495" s="433">
        <v>16.71</v>
      </c>
      <c r="D495" s="263">
        <v>16.71</v>
      </c>
      <c r="E495" s="276">
        <f>D495-C495</f>
        <v>0</v>
      </c>
      <c r="F495" s="164">
        <v>0</v>
      </c>
      <c r="G495" s="36"/>
      <c r="H495" s="142"/>
      <c r="I495" s="83"/>
      <c r="J495" s="83"/>
      <c r="K495" s="517"/>
      <c r="L495" s="26"/>
      <c r="M495" s="26"/>
    </row>
    <row r="496" spans="1:12" s="20" customFormat="1" ht="15">
      <c r="A496" s="119">
        <v>2</v>
      </c>
      <c r="B496" s="15" t="s">
        <v>267</v>
      </c>
      <c r="C496" s="433">
        <v>97.32</v>
      </c>
      <c r="D496" s="263">
        <v>97.32</v>
      </c>
      <c r="E496" s="276">
        <f>D496-C496</f>
        <v>0</v>
      </c>
      <c r="F496" s="164">
        <f>E496/D496</f>
        <v>0</v>
      </c>
      <c r="G496" s="36"/>
      <c r="H496" s="84"/>
      <c r="I496" s="84"/>
      <c r="J496" s="84"/>
      <c r="K496" s="84"/>
      <c r="L496" s="26"/>
    </row>
    <row r="497" spans="1:12" s="20" customFormat="1" ht="12.75" customHeight="1">
      <c r="A497" s="119">
        <v>3</v>
      </c>
      <c r="B497" s="15" t="s">
        <v>282</v>
      </c>
      <c r="C497" s="433">
        <v>86.04</v>
      </c>
      <c r="D497" s="263">
        <v>60.33</v>
      </c>
      <c r="E497" s="276">
        <v>0</v>
      </c>
      <c r="F497" s="164">
        <f>E497/D497</f>
        <v>0</v>
      </c>
      <c r="G497" s="36"/>
      <c r="H497" s="26"/>
      <c r="I497" s="26"/>
      <c r="J497" s="26"/>
      <c r="K497" s="26"/>
      <c r="L497" s="26"/>
    </row>
    <row r="498" spans="1:12" s="20" customFormat="1" ht="15.75" thickBot="1">
      <c r="A498" s="120">
        <v>4</v>
      </c>
      <c r="B498" s="146" t="s">
        <v>30</v>
      </c>
      <c r="C498" s="449">
        <f>C495+C497</f>
        <v>102.75</v>
      </c>
      <c r="D498" s="284">
        <f>D495+D497</f>
        <v>77.03999999999999</v>
      </c>
      <c r="E498" s="259">
        <f>E495+E497</f>
        <v>0</v>
      </c>
      <c r="F498" s="285">
        <f>F495+F497</f>
        <v>0</v>
      </c>
      <c r="G498" s="36"/>
      <c r="H498" s="26"/>
      <c r="I498" s="26"/>
      <c r="J498" s="26"/>
      <c r="K498" s="26"/>
      <c r="L498" s="26"/>
    </row>
    <row r="499" spans="1:14" s="20" customFormat="1" ht="30" customHeight="1">
      <c r="A499" s="170"/>
      <c r="B499" s="1"/>
      <c r="C499" s="1"/>
      <c r="D499" s="170"/>
      <c r="E499" s="9"/>
      <c r="F499" s="1"/>
      <c r="G499" s="36"/>
      <c r="H499" s="26"/>
      <c r="I499" s="26"/>
      <c r="J499" s="26"/>
      <c r="K499" s="26"/>
      <c r="L499" s="81"/>
      <c r="M499" s="44"/>
      <c r="N499" s="44"/>
    </row>
    <row r="500" spans="1:17" s="236" customFormat="1" ht="17.25" customHeight="1">
      <c r="A500" s="242" t="s">
        <v>244</v>
      </c>
      <c r="B500" s="239"/>
      <c r="C500" s="239"/>
      <c r="D500" s="239"/>
      <c r="E500" s="243"/>
      <c r="F500" s="245"/>
      <c r="G500" s="238"/>
      <c r="H500" s="244"/>
      <c r="I500" s="244"/>
      <c r="J500" s="244"/>
      <c r="K500" s="244"/>
      <c r="L500" s="41"/>
      <c r="M500" s="45"/>
      <c r="N500" s="45"/>
      <c r="O500" s="20"/>
      <c r="P500" s="20"/>
      <c r="Q500" s="20"/>
    </row>
    <row r="501" spans="1:13" s="20" customFormat="1" ht="15">
      <c r="A501" s="763"/>
      <c r="B501" s="763"/>
      <c r="C501" s="144"/>
      <c r="D501" s="170" t="s">
        <v>28</v>
      </c>
      <c r="E501" s="9"/>
      <c r="F501" s="776" t="s">
        <v>245</v>
      </c>
      <c r="G501" s="776"/>
      <c r="H501" s="26"/>
      <c r="I501" s="26"/>
      <c r="J501" s="26"/>
      <c r="K501" s="26"/>
      <c r="L501" s="26"/>
      <c r="M501" s="26"/>
    </row>
    <row r="502" spans="1:14" s="20" customFormat="1" ht="61.5" customHeight="1">
      <c r="A502" s="382" t="s">
        <v>284</v>
      </c>
      <c r="B502" s="382" t="s">
        <v>40</v>
      </c>
      <c r="C502" s="382" t="s">
        <v>41</v>
      </c>
      <c r="D502" s="382" t="s">
        <v>42</v>
      </c>
      <c r="E502" s="382" t="s">
        <v>43</v>
      </c>
      <c r="F502" s="383" t="s">
        <v>6</v>
      </c>
      <c r="G502" s="382" t="s">
        <v>37</v>
      </c>
      <c r="H502" s="384" t="s">
        <v>38</v>
      </c>
      <c r="I502" s="385">
        <v>2489.909</v>
      </c>
      <c r="J502" s="385">
        <v>470</v>
      </c>
      <c r="K502" s="382" t="s">
        <v>38</v>
      </c>
      <c r="L502" s="26"/>
      <c r="M502" s="26"/>
      <c r="N502" s="26"/>
    </row>
    <row r="503" spans="1:13" s="20" customFormat="1" ht="15">
      <c r="A503" s="48">
        <v>1</v>
      </c>
      <c r="B503" s="35">
        <v>2</v>
      </c>
      <c r="C503" s="35">
        <v>3</v>
      </c>
      <c r="D503" s="35">
        <v>4</v>
      </c>
      <c r="E503" s="35">
        <v>5</v>
      </c>
      <c r="F503" s="184" t="s">
        <v>154</v>
      </c>
      <c r="G503" s="35">
        <v>7</v>
      </c>
      <c r="H503" s="228" t="s">
        <v>62</v>
      </c>
      <c r="I503" s="83"/>
      <c r="J503" s="83"/>
      <c r="K503" s="282" t="s">
        <v>155</v>
      </c>
      <c r="L503" s="26"/>
      <c r="M503" s="26"/>
    </row>
    <row r="504" spans="1:13" s="20" customFormat="1" ht="15">
      <c r="A504" s="83">
        <f>D496</f>
        <v>97.32</v>
      </c>
      <c r="B504" s="228">
        <f>D498</f>
        <v>77.03999999999999</v>
      </c>
      <c r="C504" s="228">
        <f>C228</f>
        <v>3168.42</v>
      </c>
      <c r="D504" s="278">
        <f>C504*2491/100000</f>
        <v>78.9253422</v>
      </c>
      <c r="E504" s="351">
        <v>97.24</v>
      </c>
      <c r="F504" s="279">
        <f>D504-E504</f>
        <v>-18.314657799999992</v>
      </c>
      <c r="G504" s="280">
        <f>E504/A504</f>
        <v>0.9991779695848747</v>
      </c>
      <c r="H504" s="281">
        <f>B504-E504</f>
        <v>-20.200000000000003</v>
      </c>
      <c r="I504" s="83"/>
      <c r="J504" s="83"/>
      <c r="K504" s="83">
        <f>B504-E504</f>
        <v>-20.200000000000003</v>
      </c>
      <c r="L504" s="26">
        <f>C504*2491/100000</f>
        <v>78.9253422</v>
      </c>
      <c r="M504" s="26"/>
    </row>
    <row r="505" spans="1:13" s="20" customFormat="1" ht="15">
      <c r="A505" s="170"/>
      <c r="B505" s="1"/>
      <c r="C505" s="1"/>
      <c r="D505" s="170"/>
      <c r="E505" s="9"/>
      <c r="F505" s="1"/>
      <c r="G505" s="26"/>
      <c r="H505" s="26"/>
      <c r="I505" s="26"/>
      <c r="J505" s="26"/>
      <c r="K505" s="26"/>
      <c r="L505" s="26"/>
      <c r="M505" s="26"/>
    </row>
    <row r="506" spans="1:15" s="20" customFormat="1" ht="15">
      <c r="A506" s="170"/>
      <c r="B506" s="1"/>
      <c r="C506" s="1"/>
      <c r="D506" s="170"/>
      <c r="E506" s="9"/>
      <c r="F506" s="1"/>
      <c r="G506" s="26"/>
      <c r="H506" s="81"/>
      <c r="I506" s="81"/>
      <c r="J506" s="81"/>
      <c r="K506" s="81"/>
      <c r="L506" s="81"/>
      <c r="M506" s="81"/>
      <c r="N506" s="44"/>
      <c r="O506" s="44"/>
    </row>
    <row r="507" spans="1:15" s="20" customFormat="1" ht="15.75">
      <c r="A507" s="715" t="s">
        <v>260</v>
      </c>
      <c r="B507" s="715"/>
      <c r="C507" s="715"/>
      <c r="D507" s="715"/>
      <c r="E507" s="715"/>
      <c r="G507" s="26"/>
      <c r="H507" s="41"/>
      <c r="I507" s="41"/>
      <c r="J507" s="41"/>
      <c r="K507" s="41"/>
      <c r="L507" s="41"/>
      <c r="M507" s="41"/>
      <c r="N507" s="45"/>
      <c r="O507" s="45"/>
    </row>
    <row r="508" spans="1:15" s="236" customFormat="1" ht="27" customHeight="1">
      <c r="A508" s="247" t="s">
        <v>144</v>
      </c>
      <c r="E508" s="237"/>
      <c r="G508" s="244"/>
      <c r="H508" s="248"/>
      <c r="I508" s="248"/>
      <c r="J508" s="248"/>
      <c r="K508" s="248"/>
      <c r="L508" s="248"/>
      <c r="M508" s="248"/>
      <c r="N508" s="249"/>
      <c r="O508" s="249"/>
    </row>
    <row r="509" spans="1:15" s="236" customFormat="1" ht="15">
      <c r="A509" s="250" t="s">
        <v>120</v>
      </c>
      <c r="B509" s="251"/>
      <c r="C509" s="251"/>
      <c r="D509" s="251"/>
      <c r="E509" s="252"/>
      <c r="F509" s="251"/>
      <c r="G509" s="253"/>
      <c r="H509" s="248"/>
      <c r="I509" s="248"/>
      <c r="J509" s="248"/>
      <c r="K509" s="248"/>
      <c r="L509" s="248"/>
      <c r="M509" s="248"/>
      <c r="N509" s="249"/>
      <c r="O509" s="249"/>
    </row>
    <row r="510" spans="1:15" s="20" customFormat="1" ht="15.75" thickBot="1">
      <c r="A510" s="801" t="s">
        <v>225</v>
      </c>
      <c r="B510" s="802"/>
      <c r="C510" s="802"/>
      <c r="D510" s="802"/>
      <c r="E510" s="803"/>
      <c r="G510" s="41"/>
      <c r="H510" s="42"/>
      <c r="I510" s="42"/>
      <c r="J510" s="42"/>
      <c r="K510" s="42"/>
      <c r="L510" s="42"/>
      <c r="M510" s="42"/>
      <c r="N510" s="46"/>
      <c r="O510" s="46"/>
    </row>
    <row r="511" spans="1:15" s="20" customFormat="1" ht="15">
      <c r="A511" s="133" t="s">
        <v>24</v>
      </c>
      <c r="B511" s="134" t="s">
        <v>143</v>
      </c>
      <c r="C511" s="185" t="s">
        <v>45</v>
      </c>
      <c r="D511" s="202" t="s">
        <v>46</v>
      </c>
      <c r="G511" s="41"/>
      <c r="H511" s="42"/>
      <c r="I511" s="42"/>
      <c r="J511" s="42"/>
      <c r="K511" s="42"/>
      <c r="L511" s="42"/>
      <c r="M511" s="42"/>
      <c r="N511" s="46"/>
      <c r="O511" s="46"/>
    </row>
    <row r="512" spans="1:15" s="20" customFormat="1" ht="15">
      <c r="A512" s="779" t="s">
        <v>88</v>
      </c>
      <c r="B512" s="11" t="s">
        <v>74</v>
      </c>
      <c r="C512" s="352">
        <v>1752</v>
      </c>
      <c r="D512" s="353">
        <v>1051.44</v>
      </c>
      <c r="G512" s="41"/>
      <c r="H512" s="42"/>
      <c r="I512" s="42"/>
      <c r="J512" s="42"/>
      <c r="K512" s="42"/>
      <c r="L512" s="42"/>
      <c r="M512" s="42"/>
      <c r="N512" s="46"/>
      <c r="O512" s="46"/>
    </row>
    <row r="513" spans="1:15" s="20" customFormat="1" ht="15">
      <c r="A513" s="779"/>
      <c r="B513" s="11" t="s">
        <v>75</v>
      </c>
      <c r="C513" s="352">
        <v>3</v>
      </c>
      <c r="D513" s="354">
        <v>1.8</v>
      </c>
      <c r="G513" s="42"/>
      <c r="H513" s="42"/>
      <c r="I513" s="42"/>
      <c r="J513" s="42"/>
      <c r="K513" s="42"/>
      <c r="L513" s="42"/>
      <c r="M513" s="42"/>
      <c r="N513" s="46"/>
      <c r="O513" s="46"/>
    </row>
    <row r="514" spans="1:15" s="20" customFormat="1" ht="15">
      <c r="A514" s="779"/>
      <c r="B514" s="11" t="s">
        <v>76</v>
      </c>
      <c r="C514" s="352">
        <v>22</v>
      </c>
      <c r="D514" s="354">
        <v>13.2</v>
      </c>
      <c r="G514" s="42"/>
      <c r="H514" s="42"/>
      <c r="I514" s="42"/>
      <c r="J514" s="42"/>
      <c r="K514" s="42"/>
      <c r="L514" s="42"/>
      <c r="M514" s="42"/>
      <c r="N514" s="46"/>
      <c r="O514" s="46"/>
    </row>
    <row r="515" spans="1:15" s="20" customFormat="1" ht="15">
      <c r="A515" s="779"/>
      <c r="B515" s="11" t="s">
        <v>77</v>
      </c>
      <c r="C515" s="352">
        <v>0</v>
      </c>
      <c r="D515" s="354">
        <v>0</v>
      </c>
      <c r="G515" s="42"/>
      <c r="H515" s="42"/>
      <c r="I515" s="42"/>
      <c r="J515" s="42"/>
      <c r="K515" s="42"/>
      <c r="L515" s="42"/>
      <c r="M515" s="42"/>
      <c r="N515" s="46"/>
      <c r="O515" s="46"/>
    </row>
    <row r="516" spans="1:13" s="20" customFormat="1" ht="15">
      <c r="A516" s="779"/>
      <c r="B516" s="11" t="s">
        <v>134</v>
      </c>
      <c r="C516" s="352">
        <v>446</v>
      </c>
      <c r="D516" s="353">
        <v>1452.52</v>
      </c>
      <c r="G516" s="42"/>
      <c r="H516" s="26"/>
      <c r="I516" s="26">
        <f>E529-D524</f>
        <v>0</v>
      </c>
      <c r="J516" s="26"/>
      <c r="K516" s="26"/>
      <c r="L516" s="26"/>
      <c r="M516" s="26"/>
    </row>
    <row r="517" spans="1:13" s="20" customFormat="1" ht="15">
      <c r="A517" s="780"/>
      <c r="B517" s="373" t="s">
        <v>176</v>
      </c>
      <c r="C517" s="374">
        <v>0</v>
      </c>
      <c r="D517" s="375">
        <v>0</v>
      </c>
      <c r="G517" s="42"/>
      <c r="H517" s="26"/>
      <c r="I517" s="26"/>
      <c r="J517" s="26"/>
      <c r="K517" s="26"/>
      <c r="L517" s="26"/>
      <c r="M517" s="26"/>
    </row>
    <row r="518" spans="1:13" s="20" customFormat="1" ht="15">
      <c r="A518" s="780"/>
      <c r="B518" s="373" t="s">
        <v>197</v>
      </c>
      <c r="C518" s="374">
        <v>0</v>
      </c>
      <c r="D518" s="375">
        <v>0</v>
      </c>
      <c r="G518" s="42"/>
      <c r="H518" s="26"/>
      <c r="I518" s="26"/>
      <c r="J518" s="26"/>
      <c r="K518" s="26"/>
      <c r="L518" s="26"/>
      <c r="M518" s="26"/>
    </row>
    <row r="519" spans="1:13" s="20" customFormat="1" ht="15">
      <c r="A519" s="780"/>
      <c r="B519" s="373" t="s">
        <v>198</v>
      </c>
      <c r="C519" s="374">
        <v>0</v>
      </c>
      <c r="D519" s="375">
        <v>0</v>
      </c>
      <c r="G519" s="42"/>
      <c r="H519" s="26"/>
      <c r="I519" s="26"/>
      <c r="J519" s="26"/>
      <c r="K519" s="26"/>
      <c r="L519" s="26"/>
      <c r="M519" s="26"/>
    </row>
    <row r="520" spans="1:13" s="20" customFormat="1" ht="15">
      <c r="A520" s="780"/>
      <c r="B520" s="373" t="s">
        <v>199</v>
      </c>
      <c r="C520" s="374">
        <v>0</v>
      </c>
      <c r="D520" s="375">
        <v>0</v>
      </c>
      <c r="G520" s="42"/>
      <c r="H520" s="26"/>
      <c r="I520" s="26"/>
      <c r="J520" s="26"/>
      <c r="K520" s="26"/>
      <c r="L520" s="26"/>
      <c r="M520" s="26"/>
    </row>
    <row r="521" spans="1:13" s="20" customFormat="1" ht="15">
      <c r="A521" s="780"/>
      <c r="B521" s="373" t="s">
        <v>201</v>
      </c>
      <c r="C521" s="374">
        <v>0</v>
      </c>
      <c r="D521" s="375">
        <v>0</v>
      </c>
      <c r="G521" s="42"/>
      <c r="H521" s="26"/>
      <c r="I521" s="26"/>
      <c r="J521" s="26"/>
      <c r="K521" s="26"/>
      <c r="L521" s="26"/>
      <c r="M521" s="26"/>
    </row>
    <row r="522" spans="1:13" s="20" customFormat="1" ht="15">
      <c r="A522" s="780"/>
      <c r="B522" s="373" t="s">
        <v>205</v>
      </c>
      <c r="C522" s="374">
        <v>0</v>
      </c>
      <c r="D522" s="375">
        <v>0</v>
      </c>
      <c r="G522" s="42"/>
      <c r="H522" s="26"/>
      <c r="I522" s="26"/>
      <c r="J522" s="26"/>
      <c r="K522" s="26"/>
      <c r="L522" s="26"/>
      <c r="M522" s="26"/>
    </row>
    <row r="523" spans="1:13" s="20" customFormat="1" ht="15">
      <c r="A523" s="780"/>
      <c r="B523" s="373" t="s">
        <v>285</v>
      </c>
      <c r="C523" s="374">
        <v>0</v>
      </c>
      <c r="D523" s="375">
        <v>0</v>
      </c>
      <c r="G523" s="42"/>
      <c r="H523" s="26"/>
      <c r="I523" s="26"/>
      <c r="J523" s="26"/>
      <c r="K523" s="26"/>
      <c r="L523" s="26"/>
      <c r="M523" s="26"/>
    </row>
    <row r="524" spans="1:14" s="20" customFormat="1" ht="15.75" thickBot="1">
      <c r="A524" s="781"/>
      <c r="B524" s="143" t="s">
        <v>20</v>
      </c>
      <c r="C524" s="355">
        <f>SUM(C512:C520)</f>
        <v>2223</v>
      </c>
      <c r="D524" s="421">
        <f>SUM(D512:D520)</f>
        <v>2518.96</v>
      </c>
      <c r="G524" s="42"/>
      <c r="H524" s="141"/>
      <c r="I524" s="82"/>
      <c r="J524" s="82"/>
      <c r="K524" s="517"/>
      <c r="L524" s="42"/>
      <c r="M524" s="46"/>
      <c r="N524" s="46"/>
    </row>
    <row r="525" spans="1:15" s="20" customFormat="1" ht="15">
      <c r="A525" s="166"/>
      <c r="B525" s="128"/>
      <c r="C525" s="128"/>
      <c r="D525" s="196"/>
      <c r="E525" s="216"/>
      <c r="F525" s="128"/>
      <c r="G525" s="128"/>
      <c r="H525" s="84"/>
      <c r="I525" s="84"/>
      <c r="J525" s="84"/>
      <c r="K525" s="84"/>
      <c r="L525" s="84"/>
      <c r="M525" s="84"/>
      <c r="N525" s="49"/>
      <c r="O525" s="49"/>
    </row>
    <row r="526" spans="1:13" s="236" customFormat="1" ht="18.75" customHeight="1" thickBot="1">
      <c r="A526" s="235" t="s">
        <v>224</v>
      </c>
      <c r="E526" s="237"/>
      <c r="G526" s="244"/>
      <c r="H526" s="244"/>
      <c r="I526" s="244"/>
      <c r="J526" s="244"/>
      <c r="K526" s="244"/>
      <c r="L526" s="244"/>
      <c r="M526" s="244"/>
    </row>
    <row r="527" spans="1:13" s="20" customFormat="1" ht="15">
      <c r="A527" s="768" t="s">
        <v>47</v>
      </c>
      <c r="B527" s="770" t="s">
        <v>48</v>
      </c>
      <c r="C527" s="771"/>
      <c r="D527" s="772" t="s">
        <v>49</v>
      </c>
      <c r="E527" s="772"/>
      <c r="F527" s="770" t="s">
        <v>50</v>
      </c>
      <c r="G527" s="798"/>
      <c r="H527" s="26"/>
      <c r="I527" s="26"/>
      <c r="J527" s="26"/>
      <c r="K527" s="26"/>
      <c r="L527" s="26"/>
      <c r="M527" s="26"/>
    </row>
    <row r="528" spans="1:13" s="20" customFormat="1" ht="24.75" customHeight="1">
      <c r="A528" s="769"/>
      <c r="B528" s="453" t="s">
        <v>51</v>
      </c>
      <c r="C528" s="453" t="s">
        <v>52</v>
      </c>
      <c r="D528" s="454" t="s">
        <v>51</v>
      </c>
      <c r="E528" s="455" t="s">
        <v>52</v>
      </c>
      <c r="F528" s="453" t="s">
        <v>51</v>
      </c>
      <c r="G528" s="456" t="s">
        <v>52</v>
      </c>
      <c r="H528" s="26"/>
      <c r="I528" s="26"/>
      <c r="J528" s="26"/>
      <c r="K528" s="26"/>
      <c r="L528" s="26"/>
      <c r="M528" s="26"/>
    </row>
    <row r="529" spans="1:13" s="20" customFormat="1" ht="15.75" customHeight="1" thickBot="1">
      <c r="A529" s="699" t="s">
        <v>286</v>
      </c>
      <c r="B529" s="457">
        <f>C524</f>
        <v>2223</v>
      </c>
      <c r="C529" s="458">
        <f>D524</f>
        <v>2518.96</v>
      </c>
      <c r="D529" s="457">
        <v>2223</v>
      </c>
      <c r="E529" s="458">
        <v>2518.96</v>
      </c>
      <c r="F529" s="459">
        <v>0</v>
      </c>
      <c r="G529" s="460">
        <v>0</v>
      </c>
      <c r="H529" s="26"/>
      <c r="I529" s="26"/>
      <c r="J529" s="26"/>
      <c r="K529" s="26"/>
      <c r="L529" s="26"/>
      <c r="M529" s="26"/>
    </row>
    <row r="530" spans="1:13" s="20" customFormat="1" ht="15">
      <c r="A530" s="246"/>
      <c r="B530" s="46"/>
      <c r="C530" s="46"/>
      <c r="D530" s="127"/>
      <c r="E530" s="201"/>
      <c r="G530" s="26"/>
      <c r="H530" s="26"/>
      <c r="I530" s="26"/>
      <c r="J530" s="26"/>
      <c r="K530" s="26"/>
      <c r="L530" s="26"/>
      <c r="M530" s="26"/>
    </row>
    <row r="531" spans="1:15" s="236" customFormat="1" ht="15.75" thickBot="1">
      <c r="A531" s="235" t="s">
        <v>121</v>
      </c>
      <c r="E531" s="237"/>
      <c r="G531" s="244"/>
      <c r="H531" s="254"/>
      <c r="I531" s="254"/>
      <c r="J531" s="254"/>
      <c r="K531" s="254"/>
      <c r="L531" s="254"/>
      <c r="M531" s="254"/>
      <c r="N531" s="255"/>
      <c r="O531" s="255"/>
    </row>
    <row r="532" spans="1:13" ht="15">
      <c r="A532" s="774" t="s">
        <v>223</v>
      </c>
      <c r="B532" s="775"/>
      <c r="C532" s="790" t="s">
        <v>135</v>
      </c>
      <c r="D532" s="790"/>
      <c r="E532" s="777" t="s">
        <v>53</v>
      </c>
      <c r="F532" s="778"/>
      <c r="G532" s="26"/>
      <c r="K532" s="177"/>
      <c r="L532" s="177" t="s">
        <v>177</v>
      </c>
      <c r="M532" s="36" t="s">
        <v>178</v>
      </c>
    </row>
    <row r="533" spans="1:13" ht="15">
      <c r="A533" s="461" t="s">
        <v>51</v>
      </c>
      <c r="B533" s="28" t="s">
        <v>54</v>
      </c>
      <c r="C533" s="28" t="s">
        <v>51</v>
      </c>
      <c r="D533" s="462" t="s">
        <v>54</v>
      </c>
      <c r="E533" s="463" t="s">
        <v>51</v>
      </c>
      <c r="F533" s="464" t="s">
        <v>55</v>
      </c>
      <c r="G533" s="26"/>
      <c r="L533" s="36">
        <v>2209</v>
      </c>
      <c r="M533" s="36">
        <v>2471.01</v>
      </c>
    </row>
    <row r="534" spans="1:13" ht="15">
      <c r="A534" s="465">
        <v>1</v>
      </c>
      <c r="B534" s="48">
        <v>2</v>
      </c>
      <c r="C534" s="48">
        <v>3</v>
      </c>
      <c r="D534" s="11">
        <v>4</v>
      </c>
      <c r="E534" s="466"/>
      <c r="F534" s="467">
        <v>6</v>
      </c>
      <c r="G534" s="26"/>
      <c r="L534" s="36">
        <v>14</v>
      </c>
      <c r="M534" s="36">
        <v>47.87</v>
      </c>
    </row>
    <row r="535" spans="1:13" ht="15.75" thickBot="1">
      <c r="A535" s="468">
        <v>2223</v>
      </c>
      <c r="B535" s="469">
        <v>2518.96</v>
      </c>
      <c r="C535" s="470">
        <v>2223</v>
      </c>
      <c r="D535" s="305">
        <v>2518.96</v>
      </c>
      <c r="E535" s="471">
        <f>C535/A535</f>
        <v>1</v>
      </c>
      <c r="F535" s="472">
        <f>D535/B535</f>
        <v>1</v>
      </c>
      <c r="G535" s="26"/>
      <c r="K535" s="71"/>
      <c r="L535" s="71">
        <f>SUM(L533:L534)</f>
        <v>2223</v>
      </c>
      <c r="M535" s="71">
        <f>SUM(M533:M534)</f>
        <v>2518.88</v>
      </c>
    </row>
    <row r="536" spans="1:7" ht="15">
      <c r="A536" s="473"/>
      <c r="B536" s="474"/>
      <c r="C536" s="475"/>
      <c r="D536" s="476"/>
      <c r="E536" s="477"/>
      <c r="F536" s="477"/>
      <c r="G536" s="26"/>
    </row>
    <row r="537" spans="1:7" ht="16.5">
      <c r="A537" s="478" t="s">
        <v>122</v>
      </c>
      <c r="B537" s="479"/>
      <c r="C537" s="20"/>
      <c r="D537" s="174"/>
      <c r="E537" s="201"/>
      <c r="F537" s="20"/>
      <c r="G537" s="26"/>
    </row>
    <row r="538" spans="1:7" ht="15">
      <c r="A538" s="480" t="s">
        <v>123</v>
      </c>
      <c r="B538" s="20"/>
      <c r="C538" s="20"/>
      <c r="D538" s="174"/>
      <c r="E538" s="201"/>
      <c r="F538" s="20"/>
      <c r="G538" s="26"/>
    </row>
    <row r="539" spans="1:7" ht="15.75" thickBot="1">
      <c r="A539" s="473"/>
      <c r="B539" s="476"/>
      <c r="C539" s="481"/>
      <c r="D539" s="481"/>
      <c r="E539" s="482"/>
      <c r="F539" s="481"/>
      <c r="G539" s="81"/>
    </row>
    <row r="540" spans="1:7" ht="15">
      <c r="A540" s="791" t="s">
        <v>222</v>
      </c>
      <c r="B540" s="792"/>
      <c r="C540" s="792"/>
      <c r="D540" s="792"/>
      <c r="E540" s="793"/>
      <c r="F540" s="20"/>
      <c r="G540" s="41"/>
    </row>
    <row r="541" spans="1:7" ht="27">
      <c r="A541" s="483" t="s">
        <v>24</v>
      </c>
      <c r="B541" s="484" t="s">
        <v>25</v>
      </c>
      <c r="C541" s="484" t="s">
        <v>26</v>
      </c>
      <c r="D541" s="485" t="s">
        <v>45</v>
      </c>
      <c r="E541" s="486" t="s">
        <v>46</v>
      </c>
      <c r="F541" s="20"/>
      <c r="G541" s="41"/>
    </row>
    <row r="542" spans="1:7" ht="15">
      <c r="A542" s="794" t="s">
        <v>89</v>
      </c>
      <c r="B542" s="11" t="s">
        <v>74</v>
      </c>
      <c r="C542" s="487" t="s">
        <v>293</v>
      </c>
      <c r="D542" s="488">
        <v>999</v>
      </c>
      <c r="E542" s="489">
        <v>49.93</v>
      </c>
      <c r="F542" s="20"/>
      <c r="G542" s="42"/>
    </row>
    <row r="543" spans="1:7" ht="15">
      <c r="A543" s="795"/>
      <c r="B543" s="11" t="s">
        <v>75</v>
      </c>
      <c r="C543" s="487" t="s">
        <v>294</v>
      </c>
      <c r="D543" s="490">
        <v>796</v>
      </c>
      <c r="E543" s="489">
        <v>39.8</v>
      </c>
      <c r="F543" s="20"/>
      <c r="G543" s="42"/>
    </row>
    <row r="544" spans="1:7" ht="15">
      <c r="A544" s="795"/>
      <c r="B544" s="11" t="s">
        <v>76</v>
      </c>
      <c r="C544" s="487"/>
      <c r="D544" s="490">
        <v>0</v>
      </c>
      <c r="E544" s="489">
        <v>0</v>
      </c>
      <c r="F544" s="20"/>
      <c r="G544" s="42"/>
    </row>
    <row r="545" spans="1:7" ht="15.75">
      <c r="A545" s="795"/>
      <c r="B545" s="11" t="s">
        <v>77</v>
      </c>
      <c r="C545" s="487" t="s">
        <v>295</v>
      </c>
      <c r="D545" s="491">
        <v>415</v>
      </c>
      <c r="E545" s="491">
        <v>20.75</v>
      </c>
      <c r="F545" s="20"/>
      <c r="G545" s="42"/>
    </row>
    <row r="546" spans="1:7" ht="15.75">
      <c r="A546" s="795"/>
      <c r="B546" s="11" t="s">
        <v>134</v>
      </c>
      <c r="C546" s="11" t="s">
        <v>296</v>
      </c>
      <c r="D546" s="491">
        <v>541</v>
      </c>
      <c r="E546" s="491">
        <v>27.05</v>
      </c>
      <c r="F546" s="20"/>
      <c r="G546" s="42"/>
    </row>
    <row r="547" spans="1:7" ht="15.75">
      <c r="A547" s="795"/>
      <c r="B547" s="11" t="s">
        <v>172</v>
      </c>
      <c r="C547" s="487" t="s">
        <v>297</v>
      </c>
      <c r="D547" s="492">
        <v>1000</v>
      </c>
      <c r="E547" s="492">
        <v>50</v>
      </c>
      <c r="F547" s="20"/>
      <c r="G547" s="42"/>
    </row>
    <row r="548" spans="1:7" ht="15.75">
      <c r="A548" s="795"/>
      <c r="B548" s="11" t="s">
        <v>200</v>
      </c>
      <c r="C548" s="487" t="s">
        <v>298</v>
      </c>
      <c r="D548" s="492">
        <v>796</v>
      </c>
      <c r="E548" s="492">
        <v>39.8</v>
      </c>
      <c r="F548" s="20"/>
      <c r="G548" s="42"/>
    </row>
    <row r="549" spans="1:7" ht="15.75">
      <c r="A549" s="795"/>
      <c r="B549" s="11" t="s">
        <v>202</v>
      </c>
      <c r="C549" s="487"/>
      <c r="D549" s="492">
        <v>0</v>
      </c>
      <c r="E549" s="492">
        <v>0</v>
      </c>
      <c r="F549" s="20"/>
      <c r="G549" s="42"/>
    </row>
    <row r="550" spans="1:7" ht="15.75">
      <c r="A550" s="795"/>
      <c r="B550" s="11" t="s">
        <v>205</v>
      </c>
      <c r="C550" s="487" t="s">
        <v>206</v>
      </c>
      <c r="D550" s="492">
        <v>415</v>
      </c>
      <c r="E550" s="492">
        <v>20.75</v>
      </c>
      <c r="F550" s="20"/>
      <c r="G550" s="42"/>
    </row>
    <row r="551" spans="1:7" ht="15">
      <c r="A551" s="795"/>
      <c r="B551" s="342" t="s">
        <v>285</v>
      </c>
      <c r="C551" s="342"/>
      <c r="D551" s="16">
        <v>0</v>
      </c>
      <c r="E551" s="16">
        <v>0</v>
      </c>
      <c r="F551" s="20"/>
      <c r="G551" s="42"/>
    </row>
    <row r="552" spans="1:7" ht="16.5" thickBot="1">
      <c r="A552" s="796"/>
      <c r="B552" s="493" t="s">
        <v>20</v>
      </c>
      <c r="C552" s="11"/>
      <c r="D552" s="494">
        <f>SUM(D542:D551)</f>
        <v>4962</v>
      </c>
      <c r="E552" s="495">
        <f>SUM(E542:E551)</f>
        <v>248.07999999999998</v>
      </c>
      <c r="F552" s="46"/>
      <c r="G552" s="42"/>
    </row>
    <row r="553" spans="1:7" ht="15">
      <c r="A553" s="797" t="s">
        <v>187</v>
      </c>
      <c r="B553" s="797"/>
      <c r="C553" s="797"/>
      <c r="D553" s="797"/>
      <c r="E553" s="797"/>
      <c r="F553" s="797"/>
      <c r="G553" s="797"/>
    </row>
    <row r="554" spans="1:13" s="239" customFormat="1" ht="16.5" thickBot="1">
      <c r="A554" s="451" t="s">
        <v>221</v>
      </c>
      <c r="B554" s="241"/>
      <c r="C554" s="241"/>
      <c r="D554" s="241"/>
      <c r="E554" s="496"/>
      <c r="F554" s="236"/>
      <c r="G554" s="244"/>
      <c r="H554" s="238"/>
      <c r="I554" s="238"/>
      <c r="J554" s="238"/>
      <c r="K554" s="238"/>
      <c r="L554" s="238"/>
      <c r="M554" s="238"/>
    </row>
    <row r="555" spans="1:7" ht="15">
      <c r="A555" s="768" t="s">
        <v>47</v>
      </c>
      <c r="B555" s="770" t="s">
        <v>48</v>
      </c>
      <c r="C555" s="771"/>
      <c r="D555" s="772" t="s">
        <v>49</v>
      </c>
      <c r="E555" s="772"/>
      <c r="F555" s="770" t="s">
        <v>50</v>
      </c>
      <c r="G555" s="798"/>
    </row>
    <row r="556" spans="1:7" ht="15.75" thickBot="1">
      <c r="A556" s="769"/>
      <c r="B556" s="497" t="s">
        <v>51</v>
      </c>
      <c r="C556" s="498" t="s">
        <v>52</v>
      </c>
      <c r="D556" s="499" t="s">
        <v>51</v>
      </c>
      <c r="E556" s="500" t="s">
        <v>52</v>
      </c>
      <c r="F556" s="501" t="s">
        <v>51</v>
      </c>
      <c r="G556" s="502" t="s">
        <v>52</v>
      </c>
    </row>
    <row r="557" spans="1:7" ht="15.75" thickBot="1">
      <c r="A557" s="503" t="s">
        <v>287</v>
      </c>
      <c r="B557" s="504">
        <f>D552</f>
        <v>4962</v>
      </c>
      <c r="C557" s="505">
        <f>E552</f>
        <v>248.07999999999998</v>
      </c>
      <c r="D557" s="504">
        <f>B557</f>
        <v>4962</v>
      </c>
      <c r="E557" s="505">
        <f>C557</f>
        <v>248.07999999999998</v>
      </c>
      <c r="F557" s="506">
        <v>0</v>
      </c>
      <c r="G557" s="507">
        <v>0</v>
      </c>
    </row>
    <row r="558" spans="1:7" ht="15">
      <c r="A558" s="174"/>
      <c r="B558" s="20"/>
      <c r="C558" s="20"/>
      <c r="D558" s="174"/>
      <c r="E558" s="201"/>
      <c r="F558" s="20"/>
      <c r="G558" s="26"/>
    </row>
    <row r="559" spans="1:13" s="239" customFormat="1" ht="16.5" thickBot="1">
      <c r="A559" s="451" t="s">
        <v>124</v>
      </c>
      <c r="B559" s="241"/>
      <c r="C559" s="241"/>
      <c r="D559" s="241"/>
      <c r="E559" s="237"/>
      <c r="F559" s="236"/>
      <c r="G559" s="244"/>
      <c r="H559" s="238"/>
      <c r="I559" s="238"/>
      <c r="J559" s="238"/>
      <c r="K559" s="238"/>
      <c r="L559" s="238"/>
      <c r="M559" s="238"/>
    </row>
    <row r="560" spans="1:12" ht="15">
      <c r="A560" s="774" t="s">
        <v>219</v>
      </c>
      <c r="B560" s="775"/>
      <c r="C560" s="790" t="s">
        <v>220</v>
      </c>
      <c r="D560" s="790"/>
      <c r="E560" s="777" t="s">
        <v>53</v>
      </c>
      <c r="F560" s="778"/>
      <c r="G560" s="26"/>
      <c r="K560" s="517"/>
      <c r="L560" s="177"/>
    </row>
    <row r="561" spans="1:12" ht="15">
      <c r="A561" s="483" t="s">
        <v>51</v>
      </c>
      <c r="B561" s="484" t="s">
        <v>54</v>
      </c>
      <c r="C561" s="484" t="s">
        <v>51</v>
      </c>
      <c r="D561" s="485" t="s">
        <v>54</v>
      </c>
      <c r="E561" s="508" t="s">
        <v>51</v>
      </c>
      <c r="F561" s="509" t="s">
        <v>55</v>
      </c>
      <c r="G561" s="26"/>
      <c r="K561" s="517"/>
      <c r="L561" s="177"/>
    </row>
    <row r="562" spans="1:12" ht="15.75" thickBot="1">
      <c r="A562" s="465">
        <v>1</v>
      </c>
      <c r="B562" s="48">
        <v>2</v>
      </c>
      <c r="C562" s="48">
        <v>3</v>
      </c>
      <c r="D562" s="11">
        <v>4</v>
      </c>
      <c r="E562" s="466"/>
      <c r="F562" s="467">
        <v>6</v>
      </c>
      <c r="G562" s="26"/>
      <c r="K562" s="517"/>
      <c r="L562" s="177"/>
    </row>
    <row r="563" spans="1:12" ht="15.75" thickBot="1">
      <c r="A563" s="504">
        <v>4962</v>
      </c>
      <c r="B563" s="505">
        <v>248.08</v>
      </c>
      <c r="C563" s="504">
        <f>A563</f>
        <v>4962</v>
      </c>
      <c r="D563" s="505">
        <f>B563</f>
        <v>248.08</v>
      </c>
      <c r="E563" s="510">
        <f>C563/A563</f>
        <v>1</v>
      </c>
      <c r="F563" s="511">
        <f>D563/B563</f>
        <v>1</v>
      </c>
      <c r="G563" s="512"/>
      <c r="K563" s="177"/>
      <c r="L563" s="177"/>
    </row>
    <row r="564" spans="1:6" ht="15">
      <c r="A564" s="473"/>
      <c r="B564" s="474"/>
      <c r="C564" s="46"/>
      <c r="D564" s="127"/>
      <c r="E564" s="49"/>
      <c r="F564" s="49"/>
    </row>
    <row r="567" ht="15">
      <c r="A567" s="127"/>
    </row>
  </sheetData>
  <sheetProtection/>
  <mergeCells count="97">
    <mergeCell ref="F555:G555"/>
    <mergeCell ref="F527:G527"/>
    <mergeCell ref="A83:G83"/>
    <mergeCell ref="A9:E9"/>
    <mergeCell ref="L210:N210"/>
    <mergeCell ref="L234:N234"/>
    <mergeCell ref="M256:O256"/>
    <mergeCell ref="L425:N425"/>
    <mergeCell ref="I425:K425"/>
    <mergeCell ref="A510:E510"/>
    <mergeCell ref="A560:B560"/>
    <mergeCell ref="C560:D560"/>
    <mergeCell ref="E560:F560"/>
    <mergeCell ref="A540:E540"/>
    <mergeCell ref="A542:A552"/>
    <mergeCell ref="C532:D532"/>
    <mergeCell ref="A555:A556"/>
    <mergeCell ref="B555:C555"/>
    <mergeCell ref="D555:E555"/>
    <mergeCell ref="A553:G553"/>
    <mergeCell ref="A532:B532"/>
    <mergeCell ref="F501:G501"/>
    <mergeCell ref="E532:F532"/>
    <mergeCell ref="A507:E507"/>
    <mergeCell ref="A512:A524"/>
    <mergeCell ref="G487:G488"/>
    <mergeCell ref="A489:B489"/>
    <mergeCell ref="A491:F491"/>
    <mergeCell ref="A487:A488"/>
    <mergeCell ref="B487:B488"/>
    <mergeCell ref="A501:B501"/>
    <mergeCell ref="A470:E470"/>
    <mergeCell ref="A229:C229"/>
    <mergeCell ref="A354:E354"/>
    <mergeCell ref="A386:B386"/>
    <mergeCell ref="A527:A528"/>
    <mergeCell ref="B527:C527"/>
    <mergeCell ref="D527:E527"/>
    <mergeCell ref="E483:F483"/>
    <mergeCell ref="C487:C488"/>
    <mergeCell ref="A349:B349"/>
    <mergeCell ref="A130:G130"/>
    <mergeCell ref="A163:G163"/>
    <mergeCell ref="A179:F179"/>
    <mergeCell ref="A275:F275"/>
    <mergeCell ref="D487:D488"/>
    <mergeCell ref="E487:E488"/>
    <mergeCell ref="F487:F488"/>
    <mergeCell ref="G441:I441"/>
    <mergeCell ref="G457:I457"/>
    <mergeCell ref="A419:B419"/>
    <mergeCell ref="A402:B402"/>
    <mergeCell ref="E406:F406"/>
    <mergeCell ref="F298:H298"/>
    <mergeCell ref="A84:G84"/>
    <mergeCell ref="A115:G115"/>
    <mergeCell ref="A181:F181"/>
    <mergeCell ref="A113:F113"/>
    <mergeCell ref="D277:G277"/>
    <mergeCell ref="A293:E293"/>
    <mergeCell ref="B13:E13"/>
    <mergeCell ref="C46:D46"/>
    <mergeCell ref="A50:C50"/>
    <mergeCell ref="A26:E26"/>
    <mergeCell ref="A51:G51"/>
    <mergeCell ref="A33:D33"/>
    <mergeCell ref="A34:D34"/>
    <mergeCell ref="A41:H41"/>
    <mergeCell ref="C42:D42"/>
    <mergeCell ref="C43:D43"/>
    <mergeCell ref="A1:F1"/>
    <mergeCell ref="A2:F2"/>
    <mergeCell ref="A3:F3"/>
    <mergeCell ref="A4:F4"/>
    <mergeCell ref="A5:F5"/>
    <mergeCell ref="C45:D45"/>
    <mergeCell ref="C44:D44"/>
    <mergeCell ref="A7:F7"/>
    <mergeCell ref="A11:D11"/>
    <mergeCell ref="A13:A14"/>
    <mergeCell ref="P425:R425"/>
    <mergeCell ref="L457:M457"/>
    <mergeCell ref="L298:N298"/>
    <mergeCell ref="P298:R298"/>
    <mergeCell ref="L314:N314"/>
    <mergeCell ref="M334:O334"/>
    <mergeCell ref="L441:N441"/>
    <mergeCell ref="P441:R441"/>
    <mergeCell ref="P314:R314"/>
    <mergeCell ref="A99:G99"/>
    <mergeCell ref="A116:G116"/>
    <mergeCell ref="H233:J233"/>
    <mergeCell ref="H65:J65"/>
    <mergeCell ref="P65:R65"/>
    <mergeCell ref="L65:N65"/>
    <mergeCell ref="L193:N193"/>
    <mergeCell ref="P193:R193"/>
  </mergeCells>
  <printOptions horizontalCentered="1"/>
  <pageMargins left="0.5118110236220472" right="0.1968503937007874" top="0.1968503937007874" bottom="0.1968503937007874" header="0.15748031496062992" footer="0.5118110236220472"/>
  <pageSetup horizontalDpi="600" verticalDpi="600" orientation="portrait" scale="55" r:id="rId4"/>
  <rowBreaks count="8" manualBreakCount="8">
    <brk id="49" max="255" man="1"/>
    <brk id="81" max="255" man="1"/>
    <brk id="145" max="252" man="1"/>
    <brk id="206" max="252" man="1"/>
    <brk id="269" max="252" man="1"/>
    <brk id="347" max="252" man="1"/>
    <brk id="421" max="252" man="1"/>
    <brk id="482" max="252" man="1"/>
  </rowBreaks>
  <colBreaks count="1" manualBreakCount="1">
    <brk id="11" max="570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Lokender</cp:lastModifiedBy>
  <cp:lastPrinted>2018-05-15T06:43:05Z</cp:lastPrinted>
  <dcterms:created xsi:type="dcterms:W3CDTF">2009-02-28T10:02:12Z</dcterms:created>
  <dcterms:modified xsi:type="dcterms:W3CDTF">2018-05-15T06:50:35Z</dcterms:modified>
  <cp:category/>
  <cp:version/>
  <cp:contentType/>
  <cp:contentStatus/>
</cp:coreProperties>
</file>