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drawings/drawing1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Default Extension="gif" ContentType="image/gif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9195" tabRatio="935" firstSheet="61" activeTab="66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3" sheetId="100" r:id="rId7"/>
    <sheet name="AT3A_cvrg(Insti)_PY" sheetId="1" r:id="rId8"/>
    <sheet name="AT3B_cvrg(Insti)_UPY " sheetId="58" r:id="rId9"/>
    <sheet name="AT3C_cvrg(Insti)_UPY " sheetId="59" r:id="rId10"/>
    <sheet name="enrolment vs availed_PY" sheetId="60" r:id="rId11"/>
    <sheet name="enrolment vs availed_UPY" sheetId="47" r:id="rId12"/>
    <sheet name="AT-4B" sheetId="141" r:id="rId13"/>
    <sheet name="T5_PLAN_vs_PRFM" sheetId="4" r:id="rId14"/>
    <sheet name="T5A_PLAN_vs_PRFM " sheetId="111" r:id="rId15"/>
    <sheet name="T5B_PLAN_vs_PRFM  (2)" sheetId="127" r:id="rId16"/>
    <sheet name="T5C_Drought_PLAN_vs_PRFM " sheetId="113" r:id="rId17"/>
    <sheet name="T5C_Drought_PLAN_vs_PRFM  (2)" sheetId="156" r:id="rId18"/>
    <sheet name="T6_FG_py_Utlsn" sheetId="5" r:id="rId19"/>
    <sheet name="T6A_FG_Upy_Utlsn " sheetId="74" r:id="rId20"/>
    <sheet name="T6B_Pay_FG_FCI_Pry" sheetId="86" r:id="rId21"/>
    <sheet name="T6C_Coarse_Grain" sheetId="128" r:id="rId22"/>
    <sheet name="T7_CC_PY_Utlsn" sheetId="7" r:id="rId23"/>
    <sheet name="T7ACC_UPY_Utlsn " sheetId="75" r:id="rId24"/>
    <sheet name="AT-8_Hon_CCH_Pry" sheetId="88" r:id="rId25"/>
    <sheet name="AT-8A_Hon_CCH_UPry" sheetId="114" r:id="rId26"/>
    <sheet name="AT9_TA" sheetId="13" r:id="rId27"/>
    <sheet name="AT10_MME" sheetId="14" r:id="rId28"/>
    <sheet name="AT10A_" sheetId="138" r:id="rId29"/>
    <sheet name="AT-10 B" sheetId="121" r:id="rId30"/>
    <sheet name="AT-10 C" sheetId="123" r:id="rId31"/>
    <sheet name="AT-10D" sheetId="102" r:id="rId32"/>
    <sheet name="AT-10 E" sheetId="142" r:id="rId33"/>
    <sheet name="AT-10 F" sheetId="155" r:id="rId34"/>
    <sheet name="AT11_KS Year wise" sheetId="115" r:id="rId35"/>
    <sheet name="AT11A_KS-District wise" sheetId="16" r:id="rId36"/>
    <sheet name="AT12_KD-New" sheetId="26" r:id="rId37"/>
    <sheet name="AT12A_KD-Replacement" sheetId="117" r:id="rId38"/>
    <sheet name="Mode of cooking" sheetId="103" r:id="rId39"/>
    <sheet name="AT-14" sheetId="124" r:id="rId40"/>
    <sheet name="AT-14 A" sheetId="135" r:id="rId41"/>
    <sheet name="AT-15" sheetId="132" r:id="rId42"/>
    <sheet name="AT-16" sheetId="133" r:id="rId43"/>
    <sheet name="AT_17_Coverage-RBSK " sheetId="93" r:id="rId44"/>
    <sheet name="AT18_Details_Community " sheetId="66" r:id="rId45"/>
    <sheet name="AT_19_Impl_Agency" sheetId="84" r:id="rId46"/>
    <sheet name="AT_20_CentralCookingagency " sheetId="119" r:id="rId47"/>
    <sheet name="AT-21" sheetId="105" r:id="rId48"/>
    <sheet name="AT-22" sheetId="108" r:id="rId49"/>
    <sheet name="AT-23 MIS" sheetId="101" r:id="rId50"/>
    <sheet name="AT-23A _AMS" sheetId="139" r:id="rId51"/>
    <sheet name="AT-24" sheetId="104" r:id="rId52"/>
    <sheet name="AT-25" sheetId="109" r:id="rId53"/>
    <sheet name="Sheet1 (2)" sheetId="137" r:id="rId54"/>
    <sheet name="AT26_NoWD" sheetId="27" r:id="rId55"/>
    <sheet name="AT26A_NoWD" sheetId="28" r:id="rId56"/>
    <sheet name="AT27_Req_FG_CA_Pry" sheetId="29" r:id="rId57"/>
    <sheet name="AT27A_Req_FG_CA_U Pry " sheetId="144" r:id="rId58"/>
    <sheet name="AT27B_Req_FG_CA_N CLP" sheetId="145" r:id="rId59"/>
    <sheet name="AT27C_Req_FG_Drought -Pry " sheetId="146" r:id="rId60"/>
    <sheet name="AT27D_Req_FG_Drought -UPry " sheetId="147" r:id="rId61"/>
    <sheet name="AT_28_RqmtKitchen" sheetId="62" r:id="rId62"/>
    <sheet name="AT-28A_RqmtPlinthArea" sheetId="78" r:id="rId63"/>
    <sheet name="AT-28B_Kitchen repair" sheetId="152" r:id="rId64"/>
    <sheet name="AT29_Replacement KD " sheetId="154" r:id="rId65"/>
    <sheet name="AT29_A_Replacement KD" sheetId="153" r:id="rId66"/>
    <sheet name="AT-30_Coook-cum-Helper" sheetId="65" r:id="rId67"/>
    <sheet name="AT_31_Budget_provision " sheetId="98" r:id="rId68"/>
    <sheet name="AT32_Drought Pry Util" sheetId="148" r:id="rId69"/>
    <sheet name="AT-32A Drought UPry Util" sheetId="149" r:id="rId70"/>
  </sheets>
  <definedNames>
    <definedName name="_xlnm.Print_Area" localSheetId="43">'AT_17_Coverage-RBSK '!$A$1:$L$55</definedName>
    <definedName name="_xlnm.Print_Area" localSheetId="45">AT_19_Impl_Agency!$A$1:$J$57</definedName>
    <definedName name="_xlnm.Print_Area" localSheetId="46">'AT_20_CentralCookingagency '!$A$1:$M$55</definedName>
    <definedName name="_xlnm.Print_Area" localSheetId="61">AT_28_RqmtKitchen!$A$1:$R$50</definedName>
    <definedName name="_xlnm.Print_Area" localSheetId="5">AT_2A_fundflow!$A$1:$V$30</definedName>
    <definedName name="_xlnm.Print_Area" localSheetId="67">'AT_31_Budget_provision '!$A$1:$W$36</definedName>
    <definedName name="_xlnm.Print_Area" localSheetId="29">'AT-10 B'!$A$1:$I$51</definedName>
    <definedName name="_xlnm.Print_Area" localSheetId="30">'AT-10 C'!$A$1:$J$48</definedName>
    <definedName name="_xlnm.Print_Area" localSheetId="32">'AT-10 E'!$A$1:$H$49</definedName>
    <definedName name="_xlnm.Print_Area" localSheetId="33">'AT-10 F'!$A$1:$H$49</definedName>
    <definedName name="_xlnm.Print_Area" localSheetId="27">AT10_MME!$A$1:$H$32</definedName>
    <definedName name="_xlnm.Print_Area" localSheetId="28">AT10A_!$A$1:$E$51</definedName>
    <definedName name="_xlnm.Print_Area" localSheetId="31">'AT-10D'!$A$1:$H$31</definedName>
    <definedName name="_xlnm.Print_Area" localSheetId="34">'AT11_KS Year wise'!$A$1:$K$33</definedName>
    <definedName name="_xlnm.Print_Area" localSheetId="35">'AT11A_KS-District wise'!$A$1:$K$54</definedName>
    <definedName name="_xlnm.Print_Area" localSheetId="36">'AT12_KD-New'!$A$1:$K$53</definedName>
    <definedName name="_xlnm.Print_Area" localSheetId="37">'AT12A_KD-Replacement'!$A$1:$K$53</definedName>
    <definedName name="_xlnm.Print_Area" localSheetId="39">'AT-14'!$A$1:$N$48</definedName>
    <definedName name="_xlnm.Print_Area" localSheetId="40">'AT-14 A'!$A$1:$H$49</definedName>
    <definedName name="_xlnm.Print_Area" localSheetId="41">'AT-15'!$A$1:$L$50</definedName>
    <definedName name="_xlnm.Print_Area" localSheetId="42">'AT-16'!$A$1:$K$49</definedName>
    <definedName name="_xlnm.Print_Area" localSheetId="44">'AT18_Details_Community '!$A$1:$F$51</definedName>
    <definedName name="_xlnm.Print_Area" localSheetId="3">'AT-1-Gen_Info '!$A$1:$T$58</definedName>
    <definedName name="_xlnm.Print_Area" localSheetId="48">'AT-22'!$A$1:$O$47</definedName>
    <definedName name="_xlnm.Print_Area" localSheetId="51">'AT-24'!$A$1:$M$49</definedName>
    <definedName name="_xlnm.Print_Area" localSheetId="54">AT26_NoWD!$A$1:$L$33</definedName>
    <definedName name="_xlnm.Print_Area" localSheetId="55">AT26A_NoWD!$A$1:$L$33</definedName>
    <definedName name="_xlnm.Print_Area" localSheetId="56">AT27_Req_FG_CA_Pry!$A$1:$T$54</definedName>
    <definedName name="_xlnm.Print_Area" localSheetId="57">'AT27A_Req_FG_CA_U Pry '!$A$1:$T$54</definedName>
    <definedName name="_xlnm.Print_Area" localSheetId="58">'AT27B_Req_FG_CA_N CLP'!$A$1:$P$54</definedName>
    <definedName name="_xlnm.Print_Area" localSheetId="59">'AT27C_Req_FG_Drought -Pry '!$A$1:$P$30</definedName>
    <definedName name="_xlnm.Print_Area" localSheetId="60">'AT27D_Req_FG_Drought -UPry '!$A$1:$P$30</definedName>
    <definedName name="_xlnm.Print_Area" localSheetId="62">'AT-28A_RqmtPlinthArea'!$A$1:$S$32</definedName>
    <definedName name="_xlnm.Print_Area" localSheetId="63">'AT-28B_Kitchen repair'!$A$1:$G$36</definedName>
    <definedName name="_xlnm.Print_Area" localSheetId="65">'AT29_A_Replacement KD'!$A$1:$V$51</definedName>
    <definedName name="_xlnm.Print_Area" localSheetId="64">'AT29_Replacement KD '!$A$1:$V$38</definedName>
    <definedName name="_xlnm.Print_Area" localSheetId="4">'AT-2-S1 BUDGET'!$A$1:$V$31</definedName>
    <definedName name="_xlnm.Print_Area" localSheetId="6">'AT-3'!$A$1:$I$50</definedName>
    <definedName name="_xlnm.Print_Area" localSheetId="66">'AT-30_Coook-cum-Helper'!$A$1:$L$50</definedName>
    <definedName name="_xlnm.Print_Area" localSheetId="68">'AT32_Drought Pry Util'!$A$1:$L$32</definedName>
    <definedName name="_xlnm.Print_Area" localSheetId="69">'AT-32A Drought UPry Util'!$A$1:$L$32</definedName>
    <definedName name="_xlnm.Print_Area" localSheetId="7">'AT3A_cvrg(Insti)_PY'!$A$1:$N$56</definedName>
    <definedName name="_xlnm.Print_Area" localSheetId="8">'AT3B_cvrg(Insti)_UPY '!$A$1:$N$56</definedName>
    <definedName name="_xlnm.Print_Area" localSheetId="9">'AT3C_cvrg(Insti)_UPY '!$A$1:$N$56</definedName>
    <definedName name="_xlnm.Print_Area" localSheetId="24">'AT-8_Hon_CCH_Pry'!$A$1:$V$55</definedName>
    <definedName name="_xlnm.Print_Area" localSheetId="25">'AT-8A_Hon_CCH_UPry'!$A$1:$V$54</definedName>
    <definedName name="_xlnm.Print_Area" localSheetId="26">AT9_TA!$A$1:$I$51</definedName>
    <definedName name="_xlnm.Print_Area" localSheetId="1">Contents!$A$1:$C$68</definedName>
    <definedName name="_xlnm.Print_Area" localSheetId="10">'enrolment vs availed_PY'!$A$1:$Q$54</definedName>
    <definedName name="_xlnm.Print_Area" localSheetId="11">'enrolment vs availed_UPY'!$A$1:$Q$55</definedName>
    <definedName name="_xlnm.Print_Area" localSheetId="0">'First-Page'!$A$1:$O$49</definedName>
    <definedName name="_xlnm.Print_Area" localSheetId="38">'Mode of cooking'!$A$1:$H$49</definedName>
    <definedName name="_xlnm.Print_Area" localSheetId="2">Sheet1!$A$1:$J$24</definedName>
    <definedName name="_xlnm.Print_Area" localSheetId="53">'Sheet1 (2)'!$A$1:$J$24</definedName>
    <definedName name="_xlnm.Print_Area" localSheetId="13">T5_PLAN_vs_PRFM!$A$1:$J$52</definedName>
    <definedName name="_xlnm.Print_Area" localSheetId="14">'T5A_PLAN_vs_PRFM '!$A$1:$J$52</definedName>
    <definedName name="_xlnm.Print_Area" localSheetId="15">'T5B_PLAN_vs_PRFM  (2)'!$A$1:$J$52</definedName>
    <definedName name="_xlnm.Print_Area" localSheetId="16">'T5C_Drought_PLAN_vs_PRFM '!$A$1:$J$52</definedName>
    <definedName name="_xlnm.Print_Area" localSheetId="17">'T5C_Drought_PLAN_vs_PRFM  (2)'!$A$1:$J$52</definedName>
    <definedName name="_xlnm.Print_Area" localSheetId="18">T6_FG_py_Utlsn!$A$1:$L$52</definedName>
    <definedName name="_xlnm.Print_Area" localSheetId="19">'T6A_FG_Upy_Utlsn '!$A$1:$L$53</definedName>
    <definedName name="_xlnm.Print_Area" localSheetId="20">T6B_Pay_FG_FCI_Pry!$A$1:$M$55</definedName>
    <definedName name="_xlnm.Print_Area" localSheetId="21">T6C_Coarse_Grain!$A$1:$L$54</definedName>
    <definedName name="_xlnm.Print_Area" localSheetId="22">T7_CC_PY_Utlsn!$A$1:$Q$54</definedName>
    <definedName name="_xlnm.Print_Area" localSheetId="23">'T7ACC_UPY_Utlsn '!$A$1:$Q$53</definedName>
  </definedNames>
  <calcPr calcId="125725"/>
  <fileRecoveryPr autoRecover="0"/>
</workbook>
</file>

<file path=xl/calcChain.xml><?xml version="1.0" encoding="utf-8"?>
<calcChain xmlns="http://schemas.openxmlformats.org/spreadsheetml/2006/main">
  <c r="F22" i="147"/>
  <c r="H53" i="74"/>
  <c r="G52"/>
  <c r="L48"/>
  <c r="L47"/>
  <c r="J46" i="5"/>
  <c r="J47"/>
  <c r="K48" i="74"/>
  <c r="K47"/>
  <c r="E45"/>
  <c r="I46" s="1"/>
  <c r="F52" i="5"/>
  <c r="D52" i="74"/>
  <c r="D45"/>
  <c r="C52" i="5"/>
  <c r="G47"/>
  <c r="E47"/>
  <c r="B51"/>
  <c r="G48" i="74"/>
  <c r="F48"/>
  <c r="D48"/>
  <c r="H51" i="5"/>
  <c r="G51"/>
  <c r="F51"/>
  <c r="D46" i="100"/>
  <c r="D42" i="105"/>
  <c r="E42"/>
  <c r="F42"/>
  <c r="G42"/>
  <c r="H42"/>
  <c r="I42"/>
  <c r="J42"/>
  <c r="K42"/>
  <c r="C42"/>
  <c r="K10" i="10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9"/>
  <c r="N13" i="9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12"/>
  <c r="E45"/>
  <c r="F45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2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D45"/>
  <c r="C45"/>
  <c r="D26" i="98"/>
  <c r="E26"/>
  <c r="F26"/>
  <c r="G26"/>
  <c r="H26"/>
  <c r="L26"/>
  <c r="M26"/>
  <c r="N26"/>
  <c r="O26"/>
  <c r="P26"/>
  <c r="Q26"/>
  <c r="C26"/>
  <c r="X20"/>
  <c r="X21"/>
  <c r="X23"/>
  <c r="X24"/>
  <c r="T22"/>
  <c r="S22"/>
  <c r="R22"/>
  <c r="K22"/>
  <c r="W22" s="1"/>
  <c r="J22"/>
  <c r="V22" s="1"/>
  <c r="I22"/>
  <c r="T66"/>
  <c r="T67"/>
  <c r="T65"/>
  <c r="T68" s="1"/>
  <c r="S66"/>
  <c r="S67"/>
  <c r="S65"/>
  <c r="W13" i="15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12"/>
  <c r="N66" i="98"/>
  <c r="N67"/>
  <c r="N65"/>
  <c r="M66"/>
  <c r="M67"/>
  <c r="M65"/>
  <c r="L66"/>
  <c r="L67"/>
  <c r="L65"/>
  <c r="K66"/>
  <c r="K67"/>
  <c r="K65"/>
  <c r="R66"/>
  <c r="R67"/>
  <c r="R65"/>
  <c r="R68" s="1"/>
  <c r="Q66"/>
  <c r="Q67"/>
  <c r="Q65"/>
  <c r="P66"/>
  <c r="P67"/>
  <c r="P65"/>
  <c r="Q68"/>
  <c r="O66"/>
  <c r="O67"/>
  <c r="O65"/>
  <c r="Y8"/>
  <c r="R19" i="145"/>
  <c r="R18"/>
  <c r="R17"/>
  <c r="AB12" i="144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11"/>
  <c r="AG12"/>
  <c r="AH12" s="1"/>
  <c r="AG13"/>
  <c r="AG14"/>
  <c r="AH14" s="1"/>
  <c r="AG15"/>
  <c r="AH15" s="1"/>
  <c r="AG16"/>
  <c r="AH16" s="1"/>
  <c r="AG17"/>
  <c r="AG18"/>
  <c r="AH18" s="1"/>
  <c r="AG19"/>
  <c r="AH19" s="1"/>
  <c r="AG20"/>
  <c r="AH20" s="1"/>
  <c r="AG21"/>
  <c r="AG22"/>
  <c r="AH22" s="1"/>
  <c r="AG23"/>
  <c r="AH23" s="1"/>
  <c r="AG24"/>
  <c r="AH24" s="1"/>
  <c r="AG25"/>
  <c r="AG26"/>
  <c r="AH26" s="1"/>
  <c r="AG27"/>
  <c r="AH27" s="1"/>
  <c r="AG28"/>
  <c r="AH28" s="1"/>
  <c r="AG29"/>
  <c r="AG30"/>
  <c r="AH30" s="1"/>
  <c r="AG31"/>
  <c r="AH31" s="1"/>
  <c r="AG32"/>
  <c r="AH32" s="1"/>
  <c r="AG33"/>
  <c r="AG34"/>
  <c r="AH34" s="1"/>
  <c r="AG35"/>
  <c r="AH35" s="1"/>
  <c r="AG36"/>
  <c r="AH36" s="1"/>
  <c r="AG37"/>
  <c r="AG38"/>
  <c r="AH38" s="1"/>
  <c r="AG39"/>
  <c r="AH39" s="1"/>
  <c r="AG40"/>
  <c r="AH40" s="1"/>
  <c r="AG41"/>
  <c r="AG42"/>
  <c r="AH42" s="1"/>
  <c r="AG43"/>
  <c r="AH43" s="1"/>
  <c r="AG11"/>
  <c r="AH11" s="1"/>
  <c r="Y44"/>
  <c r="Z44"/>
  <c r="AA44"/>
  <c r="X44"/>
  <c r="Z46" s="1"/>
  <c r="AI12" i="29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11"/>
  <c r="AA44"/>
  <c r="AB44"/>
  <c r="AC44"/>
  <c r="AE44"/>
  <c r="AF44"/>
  <c r="AG44"/>
  <c r="AH44"/>
  <c r="Z44"/>
  <c r="AI45" i="153"/>
  <c r="AJ45"/>
  <c r="AK45"/>
  <c r="AH45"/>
  <c r="AL13"/>
  <c r="AM13" s="1"/>
  <c r="AL14"/>
  <c r="AM14" s="1"/>
  <c r="AL15"/>
  <c r="AM15" s="1"/>
  <c r="AL16"/>
  <c r="AM16" s="1"/>
  <c r="AL17"/>
  <c r="AM17" s="1"/>
  <c r="AL18"/>
  <c r="AM18" s="1"/>
  <c r="AL19"/>
  <c r="AM19" s="1"/>
  <c r="AL20"/>
  <c r="AM20" s="1"/>
  <c r="AL21"/>
  <c r="AM21" s="1"/>
  <c r="AL22"/>
  <c r="AM22" s="1"/>
  <c r="AL23"/>
  <c r="AM23" s="1"/>
  <c r="AL24"/>
  <c r="AM24" s="1"/>
  <c r="AL25"/>
  <c r="AM25" s="1"/>
  <c r="AL26"/>
  <c r="AM26" s="1"/>
  <c r="AL27"/>
  <c r="AM27" s="1"/>
  <c r="AL28"/>
  <c r="AM28" s="1"/>
  <c r="AL29"/>
  <c r="AM29" s="1"/>
  <c r="AL30"/>
  <c r="AM30" s="1"/>
  <c r="AL31"/>
  <c r="AM31" s="1"/>
  <c r="AL32"/>
  <c r="AM32" s="1"/>
  <c r="AL33"/>
  <c r="AM33" s="1"/>
  <c r="AL34"/>
  <c r="AM34" s="1"/>
  <c r="AL35"/>
  <c r="AM35" s="1"/>
  <c r="AL36"/>
  <c r="AM36" s="1"/>
  <c r="AL37"/>
  <c r="AM37" s="1"/>
  <c r="AL38"/>
  <c r="AM38" s="1"/>
  <c r="AL39"/>
  <c r="AM39" s="1"/>
  <c r="AL40"/>
  <c r="AM40" s="1"/>
  <c r="AL41"/>
  <c r="AM41" s="1"/>
  <c r="AL42"/>
  <c r="AM42" s="1"/>
  <c r="AL43"/>
  <c r="AM43" s="1"/>
  <c r="AL44"/>
  <c r="AM44" s="1"/>
  <c r="AL12"/>
  <c r="AM12" s="1"/>
  <c r="AD12"/>
  <c r="G45"/>
  <c r="K45"/>
  <c r="O45"/>
  <c r="C45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P13"/>
  <c r="R13" s="1"/>
  <c r="P14"/>
  <c r="R14" s="1"/>
  <c r="P15"/>
  <c r="R15" s="1"/>
  <c r="P16"/>
  <c r="R16" s="1"/>
  <c r="P17"/>
  <c r="R17" s="1"/>
  <c r="P18"/>
  <c r="R18" s="1"/>
  <c r="P19"/>
  <c r="R19" s="1"/>
  <c r="P20"/>
  <c r="R20" s="1"/>
  <c r="P21"/>
  <c r="R21" s="1"/>
  <c r="P22"/>
  <c r="R22" s="1"/>
  <c r="P23"/>
  <c r="R23" s="1"/>
  <c r="P24"/>
  <c r="R24" s="1"/>
  <c r="P25"/>
  <c r="R25" s="1"/>
  <c r="P26"/>
  <c r="R26" s="1"/>
  <c r="P27"/>
  <c r="R27" s="1"/>
  <c r="P28"/>
  <c r="R28" s="1"/>
  <c r="P29"/>
  <c r="R29" s="1"/>
  <c r="P30"/>
  <c r="R30" s="1"/>
  <c r="P31"/>
  <c r="R31" s="1"/>
  <c r="P32"/>
  <c r="R32" s="1"/>
  <c r="P33"/>
  <c r="R33" s="1"/>
  <c r="P34"/>
  <c r="R34" s="1"/>
  <c r="P35"/>
  <c r="R35" s="1"/>
  <c r="P36"/>
  <c r="R36" s="1"/>
  <c r="P37"/>
  <c r="R37" s="1"/>
  <c r="P38"/>
  <c r="R38" s="1"/>
  <c r="P39"/>
  <c r="R39" s="1"/>
  <c r="P40"/>
  <c r="R40" s="1"/>
  <c r="P41"/>
  <c r="R41" s="1"/>
  <c r="P42"/>
  <c r="R42" s="1"/>
  <c r="P43"/>
  <c r="R43" s="1"/>
  <c r="P44"/>
  <c r="R44" s="1"/>
  <c r="Q12"/>
  <c r="Q45" s="1"/>
  <c r="P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27"/>
  <c r="N27" s="1"/>
  <c r="L28"/>
  <c r="N28" s="1"/>
  <c r="L29"/>
  <c r="N29" s="1"/>
  <c r="L30"/>
  <c r="N30" s="1"/>
  <c r="L31"/>
  <c r="N31" s="1"/>
  <c r="L32"/>
  <c r="N32" s="1"/>
  <c r="L33"/>
  <c r="N33" s="1"/>
  <c r="L34"/>
  <c r="N34" s="1"/>
  <c r="L35"/>
  <c r="N35" s="1"/>
  <c r="L36"/>
  <c r="N36" s="1"/>
  <c r="L37"/>
  <c r="N37" s="1"/>
  <c r="L38"/>
  <c r="N38" s="1"/>
  <c r="L39"/>
  <c r="N39" s="1"/>
  <c r="L40"/>
  <c r="N40" s="1"/>
  <c r="L41"/>
  <c r="N41" s="1"/>
  <c r="L42"/>
  <c r="N42" s="1"/>
  <c r="L43"/>
  <c r="N43" s="1"/>
  <c r="L44"/>
  <c r="N44" s="1"/>
  <c r="M12"/>
  <c r="M45" s="1"/>
  <c r="L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I12"/>
  <c r="I45" s="1"/>
  <c r="H12"/>
  <c r="H45" s="1"/>
  <c r="E13"/>
  <c r="U13" s="1"/>
  <c r="E14"/>
  <c r="U14" s="1"/>
  <c r="E15"/>
  <c r="U15" s="1"/>
  <c r="E16"/>
  <c r="U16" s="1"/>
  <c r="E17"/>
  <c r="U17" s="1"/>
  <c r="E18"/>
  <c r="U18" s="1"/>
  <c r="E19"/>
  <c r="U19" s="1"/>
  <c r="E20"/>
  <c r="U20" s="1"/>
  <c r="E21"/>
  <c r="U21" s="1"/>
  <c r="E22"/>
  <c r="U22" s="1"/>
  <c r="E23"/>
  <c r="U23" s="1"/>
  <c r="E24"/>
  <c r="U24" s="1"/>
  <c r="E25"/>
  <c r="U25" s="1"/>
  <c r="E26"/>
  <c r="U26" s="1"/>
  <c r="E27"/>
  <c r="U27" s="1"/>
  <c r="E28"/>
  <c r="U28" s="1"/>
  <c r="E29"/>
  <c r="U29" s="1"/>
  <c r="E30"/>
  <c r="U30" s="1"/>
  <c r="E31"/>
  <c r="U31" s="1"/>
  <c r="E32"/>
  <c r="U32" s="1"/>
  <c r="E33"/>
  <c r="U33" s="1"/>
  <c r="E34"/>
  <c r="U34" s="1"/>
  <c r="E35"/>
  <c r="U35" s="1"/>
  <c r="E36"/>
  <c r="U36" s="1"/>
  <c r="E37"/>
  <c r="U37" s="1"/>
  <c r="E38"/>
  <c r="U38" s="1"/>
  <c r="E39"/>
  <c r="U39" s="1"/>
  <c r="E40"/>
  <c r="U40" s="1"/>
  <c r="E41"/>
  <c r="U41" s="1"/>
  <c r="E42"/>
  <c r="U42" s="1"/>
  <c r="E43"/>
  <c r="U43" s="1"/>
  <c r="E44"/>
  <c r="U44" s="1"/>
  <c r="E12"/>
  <c r="D13"/>
  <c r="F13" s="1"/>
  <c r="D14"/>
  <c r="T14" s="1"/>
  <c r="V14" s="1"/>
  <c r="D15"/>
  <c r="F15" s="1"/>
  <c r="D16"/>
  <c r="T16" s="1"/>
  <c r="V16" s="1"/>
  <c r="D17"/>
  <c r="F17" s="1"/>
  <c r="D18"/>
  <c r="T18" s="1"/>
  <c r="V18" s="1"/>
  <c r="D19"/>
  <c r="F19" s="1"/>
  <c r="D20"/>
  <c r="T20" s="1"/>
  <c r="V20" s="1"/>
  <c r="D21"/>
  <c r="F21" s="1"/>
  <c r="D22"/>
  <c r="T22" s="1"/>
  <c r="V22" s="1"/>
  <c r="D23"/>
  <c r="F23" s="1"/>
  <c r="D24"/>
  <c r="T24" s="1"/>
  <c r="V24" s="1"/>
  <c r="D25"/>
  <c r="F25" s="1"/>
  <c r="D26"/>
  <c r="T26" s="1"/>
  <c r="V26" s="1"/>
  <c r="D27"/>
  <c r="F27" s="1"/>
  <c r="D28"/>
  <c r="T28" s="1"/>
  <c r="V28" s="1"/>
  <c r="D29"/>
  <c r="F29" s="1"/>
  <c r="D30"/>
  <c r="T30" s="1"/>
  <c r="V30" s="1"/>
  <c r="D31"/>
  <c r="F31" s="1"/>
  <c r="D32"/>
  <c r="T32" s="1"/>
  <c r="V32" s="1"/>
  <c r="D33"/>
  <c r="F33" s="1"/>
  <c r="D34"/>
  <c r="T34" s="1"/>
  <c r="V34" s="1"/>
  <c r="D35"/>
  <c r="F35" s="1"/>
  <c r="D36"/>
  <c r="T36" s="1"/>
  <c r="V36" s="1"/>
  <c r="D37"/>
  <c r="F37" s="1"/>
  <c r="D38"/>
  <c r="T38" s="1"/>
  <c r="V38" s="1"/>
  <c r="D39"/>
  <c r="F39" s="1"/>
  <c r="D40"/>
  <c r="T40" s="1"/>
  <c r="V40" s="1"/>
  <c r="D41"/>
  <c r="F41" s="1"/>
  <c r="D42"/>
  <c r="T42" s="1"/>
  <c r="V42" s="1"/>
  <c r="D43"/>
  <c r="F43" s="1"/>
  <c r="D44"/>
  <c r="T44" s="1"/>
  <c r="V44" s="1"/>
  <c r="D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12"/>
  <c r="S45" s="1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Z45"/>
  <c r="AA45"/>
  <c r="AB45"/>
  <c r="AC45"/>
  <c r="Y45"/>
  <c r="T16" i="98"/>
  <c r="T17"/>
  <c r="T18"/>
  <c r="T19"/>
  <c r="S16"/>
  <c r="S17"/>
  <c r="S18"/>
  <c r="S19"/>
  <c r="R16"/>
  <c r="R17"/>
  <c r="R18"/>
  <c r="R19"/>
  <c r="T15"/>
  <c r="S15"/>
  <c r="R15"/>
  <c r="K18"/>
  <c r="K19"/>
  <c r="J18"/>
  <c r="J19"/>
  <c r="I18"/>
  <c r="I19"/>
  <c r="K17"/>
  <c r="W17" s="1"/>
  <c r="J17"/>
  <c r="I17"/>
  <c r="U17" s="1"/>
  <c r="K16"/>
  <c r="W16" s="1"/>
  <c r="J16"/>
  <c r="I16"/>
  <c r="U16" s="1"/>
  <c r="K15"/>
  <c r="J15"/>
  <c r="I15"/>
  <c r="AE12"/>
  <c r="AE13"/>
  <c r="AE14"/>
  <c r="AE15"/>
  <c r="AE16"/>
  <c r="AE11"/>
  <c r="AC18" s="1"/>
  <c r="AC19" s="1"/>
  <c r="AD12" i="146"/>
  <c r="AD13"/>
  <c r="AD14"/>
  <c r="AD15"/>
  <c r="AD16"/>
  <c r="AD17"/>
  <c r="AD18"/>
  <c r="AD19"/>
  <c r="AD11"/>
  <c r="AC20"/>
  <c r="AB20"/>
  <c r="AD20" s="1"/>
  <c r="E12" i="147"/>
  <c r="E13"/>
  <c r="F13" s="1"/>
  <c r="E14"/>
  <c r="E15"/>
  <c r="F15" s="1"/>
  <c r="E16"/>
  <c r="E17"/>
  <c r="F17" s="1"/>
  <c r="E18"/>
  <c r="E19"/>
  <c r="F19" s="1"/>
  <c r="X12" i="146"/>
  <c r="AA12" s="1"/>
  <c r="X13"/>
  <c r="AA13" s="1"/>
  <c r="X14"/>
  <c r="AA14" s="1"/>
  <c r="X15"/>
  <c r="AA15" s="1"/>
  <c r="X16"/>
  <c r="AA16" s="1"/>
  <c r="X17"/>
  <c r="AA17" s="1"/>
  <c r="X18"/>
  <c r="AA18" s="1"/>
  <c r="X19"/>
  <c r="AA19" s="1"/>
  <c r="X11"/>
  <c r="AA11" s="1"/>
  <c r="W12"/>
  <c r="W13"/>
  <c r="W14"/>
  <c r="W15"/>
  <c r="W16"/>
  <c r="W17"/>
  <c r="W18"/>
  <c r="W19"/>
  <c r="W11"/>
  <c r="T44" i="144"/>
  <c r="G12" i="29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11"/>
  <c r="G12" i="144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C44"/>
  <c r="D44"/>
  <c r="E44"/>
  <c r="F44"/>
  <c r="G11"/>
  <c r="L45" i="153" l="1"/>
  <c r="N68" i="98"/>
  <c r="AJ11" i="29"/>
  <c r="AJ40"/>
  <c r="AJ36"/>
  <c r="AJ32"/>
  <c r="AJ28"/>
  <c r="AJ24"/>
  <c r="AJ20"/>
  <c r="AH41" i="144"/>
  <c r="AH37"/>
  <c r="AH33"/>
  <c r="AH29"/>
  <c r="AH25"/>
  <c r="AH21"/>
  <c r="AH17"/>
  <c r="AH13"/>
  <c r="U22" i="98"/>
  <c r="X22" s="1"/>
  <c r="P45" i="153"/>
  <c r="P68" i="98"/>
  <c r="E45" i="153"/>
  <c r="AJ38" i="29"/>
  <c r="AJ34"/>
  <c r="AJ30"/>
  <c r="AJ26"/>
  <c r="AJ22"/>
  <c r="AJ18"/>
  <c r="M68" i="98"/>
  <c r="AJ16" i="29"/>
  <c r="AJ14"/>
  <c r="AJ12"/>
  <c r="W45" i="153"/>
  <c r="AD44" i="29"/>
  <c r="AJ43"/>
  <c r="AJ41"/>
  <c r="AJ39"/>
  <c r="AJ37"/>
  <c r="AJ35"/>
  <c r="AJ33"/>
  <c r="AJ31"/>
  <c r="AJ29"/>
  <c r="AJ27"/>
  <c r="AJ25"/>
  <c r="AJ23"/>
  <c r="AJ21"/>
  <c r="AJ19"/>
  <c r="AJ17"/>
  <c r="AJ15"/>
  <c r="AJ13"/>
  <c r="R20" i="145"/>
  <c r="S20" s="1"/>
  <c r="S68" i="98"/>
  <c r="AD18"/>
  <c r="AD19" s="1"/>
  <c r="AH48" i="29"/>
  <c r="AJ42"/>
  <c r="AB44" i="144"/>
  <c r="K68" i="98"/>
  <c r="W19"/>
  <c r="V19"/>
  <c r="U19"/>
  <c r="AE19"/>
  <c r="O68"/>
  <c r="L68"/>
  <c r="V16"/>
  <c r="X16" s="1"/>
  <c r="W18"/>
  <c r="V18"/>
  <c r="U18"/>
  <c r="V17"/>
  <c r="X17" s="1"/>
  <c r="W15"/>
  <c r="V15"/>
  <c r="G44" i="144"/>
  <c r="G59" s="1"/>
  <c r="AG44"/>
  <c r="AH44" s="1"/>
  <c r="AI44" i="29"/>
  <c r="AJ44" s="1"/>
  <c r="D45" i="153"/>
  <c r="AL45"/>
  <c r="AM45" s="1"/>
  <c r="F44"/>
  <c r="F42"/>
  <c r="F40"/>
  <c r="F38"/>
  <c r="F36"/>
  <c r="F34"/>
  <c r="F32"/>
  <c r="F30"/>
  <c r="F28"/>
  <c r="F26"/>
  <c r="F24"/>
  <c r="F22"/>
  <c r="F20"/>
  <c r="F18"/>
  <c r="F16"/>
  <c r="F14"/>
  <c r="J12"/>
  <c r="J45" s="1"/>
  <c r="R12"/>
  <c r="R45" s="1"/>
  <c r="U12"/>
  <c r="U45" s="1"/>
  <c r="T43"/>
  <c r="V43" s="1"/>
  <c r="T41"/>
  <c r="V41" s="1"/>
  <c r="T39"/>
  <c r="V39" s="1"/>
  <c r="T37"/>
  <c r="V37" s="1"/>
  <c r="T35"/>
  <c r="V35" s="1"/>
  <c r="T33"/>
  <c r="V33" s="1"/>
  <c r="T31"/>
  <c r="V31" s="1"/>
  <c r="T29"/>
  <c r="V29" s="1"/>
  <c r="T27"/>
  <c r="V27" s="1"/>
  <c r="T25"/>
  <c r="V25" s="1"/>
  <c r="T23"/>
  <c r="V23" s="1"/>
  <c r="T21"/>
  <c r="V21" s="1"/>
  <c r="T19"/>
  <c r="V19" s="1"/>
  <c r="T17"/>
  <c r="V17" s="1"/>
  <c r="T15"/>
  <c r="V15" s="1"/>
  <c r="T13"/>
  <c r="V13" s="1"/>
  <c r="F12"/>
  <c r="F45" s="1"/>
  <c r="N12"/>
  <c r="N45" s="1"/>
  <c r="T12"/>
  <c r="X20" i="146"/>
  <c r="F18" i="147"/>
  <c r="G18" s="1"/>
  <c r="F16"/>
  <c r="G16" s="1"/>
  <c r="F14"/>
  <c r="G14" s="1"/>
  <c r="F12"/>
  <c r="G12" s="1"/>
  <c r="G19"/>
  <c r="G17"/>
  <c r="G15"/>
  <c r="G13"/>
  <c r="AD45" i="153"/>
  <c r="U15" i="98"/>
  <c r="I13" i="145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12"/>
  <c r="E13"/>
  <c r="Q13" s="1"/>
  <c r="R13" s="1"/>
  <c r="E14"/>
  <c r="Q14" s="1"/>
  <c r="R14" s="1"/>
  <c r="S27" i="93"/>
  <c r="X19" i="98" l="1"/>
  <c r="X18"/>
  <c r="T45" i="153"/>
  <c r="V12"/>
  <c r="V45" s="1"/>
  <c r="H55" i="98"/>
  <c r="E54"/>
  <c r="F54"/>
  <c r="F56" s="1"/>
  <c r="G54"/>
  <c r="G56" s="1"/>
  <c r="F50"/>
  <c r="F51" s="1"/>
  <c r="G50"/>
  <c r="G51" s="1"/>
  <c r="E50"/>
  <c r="E51" s="1"/>
  <c r="H49"/>
  <c r="Y41"/>
  <c r="P46" i="100"/>
  <c r="Q46" s="1"/>
  <c r="I45" i="16"/>
  <c r="E45"/>
  <c r="M26" i="115"/>
  <c r="T25" i="98"/>
  <c r="T26" s="1"/>
  <c r="S25"/>
  <c r="S26" s="1"/>
  <c r="R25"/>
  <c r="R26" s="1"/>
  <c r="K25"/>
  <c r="J25"/>
  <c r="J26" s="1"/>
  <c r="I25"/>
  <c r="I26" s="1"/>
  <c r="E46"/>
  <c r="F46"/>
  <c r="G46"/>
  <c r="F45"/>
  <c r="G45"/>
  <c r="E45"/>
  <c r="H44"/>
  <c r="H51" l="1"/>
  <c r="H54"/>
  <c r="W25"/>
  <c r="W26" s="1"/>
  <c r="K26"/>
  <c r="H45"/>
  <c r="H46"/>
  <c r="H52"/>
  <c r="E56"/>
  <c r="H56" s="1"/>
  <c r="H57" s="1"/>
  <c r="V25"/>
  <c r="V26" s="1"/>
  <c r="U25"/>
  <c r="G11" i="47"/>
  <c r="N50" i="98"/>
  <c r="N51" s="1"/>
  <c r="O50"/>
  <c r="O51" s="1"/>
  <c r="M50"/>
  <c r="M51" s="1"/>
  <c r="P51" s="1"/>
  <c r="P49"/>
  <c r="S45"/>
  <c r="S46" s="1"/>
  <c r="T45"/>
  <c r="T46" s="1"/>
  <c r="R45"/>
  <c r="R46" s="1"/>
  <c r="U46" s="1"/>
  <c r="U44"/>
  <c r="S41"/>
  <c r="S42" s="1"/>
  <c r="T41"/>
  <c r="T42" s="1"/>
  <c r="R41"/>
  <c r="R42" s="1"/>
  <c r="U42" s="1"/>
  <c r="U40"/>
  <c r="N45"/>
  <c r="N46" s="1"/>
  <c r="O45"/>
  <c r="O46" s="1"/>
  <c r="M45"/>
  <c r="P45" s="1"/>
  <c r="P44"/>
  <c r="P44" i="145"/>
  <c r="D44"/>
  <c r="H44"/>
  <c r="M44"/>
  <c r="N44"/>
  <c r="O44"/>
  <c r="C44"/>
  <c r="I44" s="1"/>
  <c r="L13"/>
  <c r="L14"/>
  <c r="K13"/>
  <c r="K14"/>
  <c r="J13"/>
  <c r="J14"/>
  <c r="L12"/>
  <c r="K12"/>
  <c r="J12"/>
  <c r="F13"/>
  <c r="E12"/>
  <c r="M11" i="27"/>
  <c r="D10" i="142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9"/>
  <c r="G9" s="1"/>
  <c r="N13" i="4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12"/>
  <c r="Y26" i="98" l="1"/>
  <c r="X25"/>
  <c r="Z23" s="1"/>
  <c r="U26"/>
  <c r="X26" s="1"/>
  <c r="F12" i="145"/>
  <c r="Q12"/>
  <c r="R12" s="1"/>
  <c r="K44"/>
  <c r="U41" i="98"/>
  <c r="U45"/>
  <c r="P50"/>
  <c r="M46"/>
  <c r="P46" s="1"/>
  <c r="J44" i="145"/>
  <c r="L44"/>
  <c r="G12"/>
  <c r="G13"/>
  <c r="E44"/>
  <c r="F14"/>
  <c r="F44" s="1"/>
  <c r="F58" s="1"/>
  <c r="M13" i="111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12"/>
  <c r="O13" i="4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12"/>
  <c r="N10" i="100"/>
  <c r="P10" s="1"/>
  <c r="N11"/>
  <c r="P11" s="1"/>
  <c r="N12"/>
  <c r="P12" s="1"/>
  <c r="N13"/>
  <c r="P13" s="1"/>
  <c r="N14"/>
  <c r="P14" s="1"/>
  <c r="N15"/>
  <c r="P15" s="1"/>
  <c r="N16"/>
  <c r="P16" s="1"/>
  <c r="N17"/>
  <c r="P17" s="1"/>
  <c r="N18"/>
  <c r="P18" s="1"/>
  <c r="N19"/>
  <c r="P19" s="1"/>
  <c r="N20"/>
  <c r="P20" s="1"/>
  <c r="N21"/>
  <c r="P21" s="1"/>
  <c r="N22"/>
  <c r="P22" s="1"/>
  <c r="N23"/>
  <c r="P23" s="1"/>
  <c r="N24"/>
  <c r="P24" s="1"/>
  <c r="N25"/>
  <c r="P25" s="1"/>
  <c r="N26"/>
  <c r="P26" s="1"/>
  <c r="N27"/>
  <c r="P27" s="1"/>
  <c r="N28"/>
  <c r="P28" s="1"/>
  <c r="N29"/>
  <c r="P29" s="1"/>
  <c r="N30"/>
  <c r="P30" s="1"/>
  <c r="N31"/>
  <c r="P31" s="1"/>
  <c r="N32"/>
  <c r="P32" s="1"/>
  <c r="N33"/>
  <c r="P33" s="1"/>
  <c r="N34"/>
  <c r="P34" s="1"/>
  <c r="N35"/>
  <c r="P35" s="1"/>
  <c r="N36"/>
  <c r="P36" s="1"/>
  <c r="N37"/>
  <c r="P37" s="1"/>
  <c r="N38"/>
  <c r="P38" s="1"/>
  <c r="N39"/>
  <c r="P39" s="1"/>
  <c r="N40"/>
  <c r="P40" s="1"/>
  <c r="N41"/>
  <c r="P41" s="1"/>
  <c r="N9"/>
  <c r="P9" s="1"/>
  <c r="M10"/>
  <c r="O10" s="1"/>
  <c r="M11"/>
  <c r="O11" s="1"/>
  <c r="M12"/>
  <c r="O12" s="1"/>
  <c r="M13"/>
  <c r="O13" s="1"/>
  <c r="M14"/>
  <c r="O14" s="1"/>
  <c r="M15"/>
  <c r="O15" s="1"/>
  <c r="M16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30"/>
  <c r="O30" s="1"/>
  <c r="M31"/>
  <c r="O31" s="1"/>
  <c r="M32"/>
  <c r="O32" s="1"/>
  <c r="M33"/>
  <c r="O33" s="1"/>
  <c r="M34"/>
  <c r="O34" s="1"/>
  <c r="M35"/>
  <c r="O35" s="1"/>
  <c r="M36"/>
  <c r="O36" s="1"/>
  <c r="M37"/>
  <c r="O37" s="1"/>
  <c r="M38"/>
  <c r="O38" s="1"/>
  <c r="M39"/>
  <c r="O39" s="1"/>
  <c r="M40"/>
  <c r="O40" s="1"/>
  <c r="M41"/>
  <c r="O41" s="1"/>
  <c r="M9"/>
  <c r="O9" s="1"/>
  <c r="AX15" i="7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14"/>
  <c r="AX47" s="1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N14"/>
  <c r="AM14"/>
  <c r="R13" i="5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12"/>
  <c r="S13" i="113"/>
  <c r="T13" s="1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37"/>
  <c r="T37" s="1"/>
  <c r="S38"/>
  <c r="T38" s="1"/>
  <c r="S39"/>
  <c r="T39" s="1"/>
  <c r="S40"/>
  <c r="T40" s="1"/>
  <c r="S41"/>
  <c r="T41" s="1"/>
  <c r="S42"/>
  <c r="T42" s="1"/>
  <c r="S43"/>
  <c r="T43" s="1"/>
  <c r="S44"/>
  <c r="T44" s="1"/>
  <c r="S12"/>
  <c r="T12" s="1"/>
  <c r="AO15" i="88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14"/>
  <c r="R13" i="156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R44"/>
  <c r="S44" s="1"/>
  <c r="R45"/>
  <c r="R12"/>
  <c r="S12" s="1"/>
  <c r="Q45"/>
  <c r="S45" s="1"/>
  <c r="P13" i="1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12"/>
  <c r="AC14" i="1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13"/>
  <c r="N56"/>
  <c r="N57"/>
  <c r="F35" i="96"/>
  <c r="G35"/>
  <c r="E35"/>
  <c r="H35" s="1"/>
  <c r="I34"/>
  <c r="J17"/>
  <c r="J18"/>
  <c r="J19"/>
  <c r="J20"/>
  <c r="F37"/>
  <c r="G37"/>
  <c r="E37"/>
  <c r="H36"/>
  <c r="J16"/>
  <c r="H34"/>
  <c r="R13" i="13"/>
  <c r="S13" s="1"/>
  <c r="R14"/>
  <c r="S14" s="1"/>
  <c r="R15"/>
  <c r="S15" s="1"/>
  <c r="R16"/>
  <c r="S16" s="1"/>
  <c r="R17"/>
  <c r="S17" s="1"/>
  <c r="R18"/>
  <c r="S18" s="1"/>
  <c r="R19"/>
  <c r="S19" s="1"/>
  <c r="R20"/>
  <c r="S20" s="1"/>
  <c r="R21"/>
  <c r="S21" s="1"/>
  <c r="R22"/>
  <c r="S22" s="1"/>
  <c r="R23"/>
  <c r="S23" s="1"/>
  <c r="R24"/>
  <c r="S24" s="1"/>
  <c r="R25"/>
  <c r="S25" s="1"/>
  <c r="R26"/>
  <c r="S26" s="1"/>
  <c r="R27"/>
  <c r="S27" s="1"/>
  <c r="R28"/>
  <c r="S28" s="1"/>
  <c r="R29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R44"/>
  <c r="S44" s="1"/>
  <c r="R12"/>
  <c r="S12" s="1"/>
  <c r="C57" i="114"/>
  <c r="F59" s="1"/>
  <c r="K13" i="156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L12"/>
  <c r="K12"/>
  <c r="K13" i="113"/>
  <c r="L13"/>
  <c r="K14"/>
  <c r="L14"/>
  <c r="K15"/>
  <c r="L15"/>
  <c r="K16"/>
  <c r="L16"/>
  <c r="K17"/>
  <c r="L17"/>
  <c r="K18"/>
  <c r="M18" s="1"/>
  <c r="L18"/>
  <c r="K19"/>
  <c r="L19"/>
  <c r="K20"/>
  <c r="L20"/>
  <c r="K21"/>
  <c r="L21"/>
  <c r="K22"/>
  <c r="L22"/>
  <c r="K23"/>
  <c r="L23"/>
  <c r="K24"/>
  <c r="M24" s="1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M33" s="1"/>
  <c r="L33"/>
  <c r="K34"/>
  <c r="L34"/>
  <c r="K35"/>
  <c r="L35"/>
  <c r="K36"/>
  <c r="L36"/>
  <c r="K37"/>
  <c r="M37" s="1"/>
  <c r="L37"/>
  <c r="K38"/>
  <c r="L38"/>
  <c r="K39"/>
  <c r="L39"/>
  <c r="K40"/>
  <c r="M40" s="1"/>
  <c r="L40"/>
  <c r="K41"/>
  <c r="M41" s="1"/>
  <c r="L41"/>
  <c r="K42"/>
  <c r="L42"/>
  <c r="K43"/>
  <c r="L43"/>
  <c r="K44"/>
  <c r="M44" s="1"/>
  <c r="L44"/>
  <c r="L12"/>
  <c r="K12"/>
  <c r="M21"/>
  <c r="M13"/>
  <c r="N13" i="111"/>
  <c r="O13"/>
  <c r="R13" s="1"/>
  <c r="N14"/>
  <c r="O14"/>
  <c r="R14" s="1"/>
  <c r="N15"/>
  <c r="O15"/>
  <c r="R15" s="1"/>
  <c r="N16"/>
  <c r="Q16" s="1"/>
  <c r="O16"/>
  <c r="R16" s="1"/>
  <c r="N17"/>
  <c r="O17"/>
  <c r="R17" s="1"/>
  <c r="N18"/>
  <c r="O18"/>
  <c r="R18" s="1"/>
  <c r="N19"/>
  <c r="O19"/>
  <c r="R19" s="1"/>
  <c r="N20"/>
  <c r="O20"/>
  <c r="R20" s="1"/>
  <c r="N21"/>
  <c r="O21"/>
  <c r="R21" s="1"/>
  <c r="N22"/>
  <c r="O22"/>
  <c r="R22" s="1"/>
  <c r="N23"/>
  <c r="O23"/>
  <c r="R23" s="1"/>
  <c r="N24"/>
  <c r="O24"/>
  <c r="R24" s="1"/>
  <c r="N25"/>
  <c r="O25"/>
  <c r="R25" s="1"/>
  <c r="N26"/>
  <c r="O26"/>
  <c r="P26" i="156" s="1"/>
  <c r="N27" i="111"/>
  <c r="O27"/>
  <c r="R27" s="1"/>
  <c r="N28"/>
  <c r="Q28" s="1"/>
  <c r="O28"/>
  <c r="R28" s="1"/>
  <c r="N29"/>
  <c r="Q29" s="1"/>
  <c r="O29"/>
  <c r="R29" s="1"/>
  <c r="N30"/>
  <c r="Q30" s="1"/>
  <c r="O30"/>
  <c r="P30" i="156" s="1"/>
  <c r="N31" i="111"/>
  <c r="Q31" s="1"/>
  <c r="O31"/>
  <c r="R31" s="1"/>
  <c r="N32"/>
  <c r="Q32" s="1"/>
  <c r="O32"/>
  <c r="R32" s="1"/>
  <c r="N33"/>
  <c r="Q33" s="1"/>
  <c r="O33"/>
  <c r="R33" s="1"/>
  <c r="N34"/>
  <c r="Q34" s="1"/>
  <c r="O34"/>
  <c r="R34" s="1"/>
  <c r="N35"/>
  <c r="Q35" s="1"/>
  <c r="O35"/>
  <c r="R35" s="1"/>
  <c r="N36"/>
  <c r="Q36" s="1"/>
  <c r="O36"/>
  <c r="R36" s="1"/>
  <c r="N37"/>
  <c r="Q37" s="1"/>
  <c r="O37"/>
  <c r="R37" s="1"/>
  <c r="N38"/>
  <c r="Q38" s="1"/>
  <c r="O38"/>
  <c r="P38" i="156" s="1"/>
  <c r="N39" i="111"/>
  <c r="Q39" s="1"/>
  <c r="O39"/>
  <c r="R39" s="1"/>
  <c r="N40"/>
  <c r="Q40" s="1"/>
  <c r="O40"/>
  <c r="R40" s="1"/>
  <c r="N41"/>
  <c r="Q41" s="1"/>
  <c r="O41"/>
  <c r="R41" s="1"/>
  <c r="N42"/>
  <c r="Q42" s="1"/>
  <c r="O42"/>
  <c r="R42" s="1"/>
  <c r="N43"/>
  <c r="Q43" s="1"/>
  <c r="O43"/>
  <c r="R43" s="1"/>
  <c r="N44"/>
  <c r="Q44" s="1"/>
  <c r="O44"/>
  <c r="R44" s="1"/>
  <c r="O12"/>
  <c r="R12" s="1"/>
  <c r="N12"/>
  <c r="Q12" s="1"/>
  <c r="P21" i="156"/>
  <c r="P13"/>
  <c r="P13" i="4"/>
  <c r="R13" s="1"/>
  <c r="Q13"/>
  <c r="O13" i="113" s="1"/>
  <c r="Q13" s="1"/>
  <c r="P14" i="4"/>
  <c r="R14" s="1"/>
  <c r="Q14"/>
  <c r="S14" s="1"/>
  <c r="P15"/>
  <c r="R15" s="1"/>
  <c r="Q15"/>
  <c r="S15" s="1"/>
  <c r="P16"/>
  <c r="R16" s="1"/>
  <c r="Q16"/>
  <c r="S16" s="1"/>
  <c r="P17"/>
  <c r="R17" s="1"/>
  <c r="Q17"/>
  <c r="O17" i="113" s="1"/>
  <c r="Q17" s="1"/>
  <c r="P18" i="4"/>
  <c r="R18" s="1"/>
  <c r="Q18"/>
  <c r="S18" s="1"/>
  <c r="P19"/>
  <c r="R19" s="1"/>
  <c r="Q19"/>
  <c r="S19" s="1"/>
  <c r="P20"/>
  <c r="R20" s="1"/>
  <c r="Q20"/>
  <c r="O20" i="113" s="1"/>
  <c r="Q20" s="1"/>
  <c r="P21" i="4"/>
  <c r="R21" s="1"/>
  <c r="Q21"/>
  <c r="O21" i="113" s="1"/>
  <c r="Q21" s="1"/>
  <c r="P22" i="4"/>
  <c r="R22" s="1"/>
  <c r="Q22"/>
  <c r="O22" i="113" s="1"/>
  <c r="Q22" s="1"/>
  <c r="P23" i="4"/>
  <c r="R23" s="1"/>
  <c r="Q23"/>
  <c r="S23" s="1"/>
  <c r="P24"/>
  <c r="R24" s="1"/>
  <c r="Q24"/>
  <c r="S24" s="1"/>
  <c r="P25"/>
  <c r="R25" s="1"/>
  <c r="Q25"/>
  <c r="O25" i="113" s="1"/>
  <c r="Q25" s="1"/>
  <c r="P26" i="4"/>
  <c r="R26" s="1"/>
  <c r="Q26"/>
  <c r="S26" s="1"/>
  <c r="P27"/>
  <c r="R27" s="1"/>
  <c r="Q27"/>
  <c r="S27" s="1"/>
  <c r="P28"/>
  <c r="R28" s="1"/>
  <c r="Q28"/>
  <c r="S28" s="1"/>
  <c r="P29"/>
  <c r="R29" s="1"/>
  <c r="Q29"/>
  <c r="O29" i="113" s="1"/>
  <c r="Q29" s="1"/>
  <c r="P30" i="4"/>
  <c r="R30" s="1"/>
  <c r="Q30"/>
  <c r="O30" i="113" s="1"/>
  <c r="Q30" s="1"/>
  <c r="P31" i="4"/>
  <c r="R31" s="1"/>
  <c r="Q31"/>
  <c r="S31" s="1"/>
  <c r="P32"/>
  <c r="R32" s="1"/>
  <c r="Q32"/>
  <c r="O32" i="113" s="1"/>
  <c r="Q32" s="1"/>
  <c r="P33" i="4"/>
  <c r="R33" s="1"/>
  <c r="Q33"/>
  <c r="O33" i="113" s="1"/>
  <c r="Q33" s="1"/>
  <c r="P34" i="4"/>
  <c r="R34" s="1"/>
  <c r="Q34"/>
  <c r="S34" s="1"/>
  <c r="P35"/>
  <c r="R35" s="1"/>
  <c r="Q35"/>
  <c r="S35" s="1"/>
  <c r="P36"/>
  <c r="R36" s="1"/>
  <c r="Q36"/>
  <c r="S36" s="1"/>
  <c r="P37"/>
  <c r="R37" s="1"/>
  <c r="Q37"/>
  <c r="P38"/>
  <c r="R38" s="1"/>
  <c r="Q38"/>
  <c r="O38" i="113" s="1"/>
  <c r="Q38" s="1"/>
  <c r="P39" i="4"/>
  <c r="R39" s="1"/>
  <c r="Q39"/>
  <c r="S39" s="1"/>
  <c r="P40"/>
  <c r="R40" s="1"/>
  <c r="Q40"/>
  <c r="S40" s="1"/>
  <c r="P41"/>
  <c r="R41" s="1"/>
  <c r="Q41"/>
  <c r="P42"/>
  <c r="R42" s="1"/>
  <c r="Q42"/>
  <c r="S42" s="1"/>
  <c r="P43"/>
  <c r="R43" s="1"/>
  <c r="Q43"/>
  <c r="S43" s="1"/>
  <c r="P44"/>
  <c r="R44" s="1"/>
  <c r="Q44"/>
  <c r="S44" s="1"/>
  <c r="Q12"/>
  <c r="S12" s="1"/>
  <c r="P12"/>
  <c r="R12" s="1"/>
  <c r="M13" i="5"/>
  <c r="N13"/>
  <c r="O13"/>
  <c r="P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22"/>
  <c r="N22"/>
  <c r="O22"/>
  <c r="P22"/>
  <c r="M23"/>
  <c r="N23"/>
  <c r="O23"/>
  <c r="P23"/>
  <c r="M24"/>
  <c r="N24"/>
  <c r="O24"/>
  <c r="P24"/>
  <c r="M25"/>
  <c r="N25"/>
  <c r="O25"/>
  <c r="P25"/>
  <c r="M26"/>
  <c r="N26"/>
  <c r="O26"/>
  <c r="P26"/>
  <c r="M27"/>
  <c r="N27"/>
  <c r="O27"/>
  <c r="P27"/>
  <c r="M28"/>
  <c r="N28"/>
  <c r="O28"/>
  <c r="P28"/>
  <c r="M29"/>
  <c r="N29"/>
  <c r="O29"/>
  <c r="P29"/>
  <c r="M30"/>
  <c r="N30"/>
  <c r="O30"/>
  <c r="P30"/>
  <c r="M31"/>
  <c r="N31"/>
  <c r="O31"/>
  <c r="P31"/>
  <c r="M32"/>
  <c r="N32"/>
  <c r="O32"/>
  <c r="P32"/>
  <c r="M33"/>
  <c r="N33"/>
  <c r="O33"/>
  <c r="P33"/>
  <c r="M34"/>
  <c r="N34"/>
  <c r="O34"/>
  <c r="P34"/>
  <c r="M35"/>
  <c r="N35"/>
  <c r="O35"/>
  <c r="P35"/>
  <c r="M36"/>
  <c r="N36"/>
  <c r="O36"/>
  <c r="P36"/>
  <c r="M37"/>
  <c r="N37"/>
  <c r="O37"/>
  <c r="P37"/>
  <c r="M38"/>
  <c r="N38"/>
  <c r="O38"/>
  <c r="P38"/>
  <c r="M39"/>
  <c r="N39"/>
  <c r="O39"/>
  <c r="P39"/>
  <c r="M40"/>
  <c r="N40"/>
  <c r="O40"/>
  <c r="P40"/>
  <c r="M41"/>
  <c r="N41"/>
  <c r="O41"/>
  <c r="P41"/>
  <c r="M42"/>
  <c r="N42"/>
  <c r="O42"/>
  <c r="P42"/>
  <c r="M43"/>
  <c r="N43"/>
  <c r="O43"/>
  <c r="P43"/>
  <c r="M44"/>
  <c r="N44"/>
  <c r="O44"/>
  <c r="P44"/>
  <c r="P12"/>
  <c r="N12"/>
  <c r="O12"/>
  <c r="M12"/>
  <c r="P14" i="156"/>
  <c r="P16"/>
  <c r="P18"/>
  <c r="P20"/>
  <c r="P22"/>
  <c r="P24"/>
  <c r="P25"/>
  <c r="P28"/>
  <c r="P32"/>
  <c r="P34"/>
  <c r="P36"/>
  <c r="P37"/>
  <c r="P39"/>
  <c r="P40"/>
  <c r="P42"/>
  <c r="P44"/>
  <c r="P12"/>
  <c r="M19"/>
  <c r="M22"/>
  <c r="O22" s="1"/>
  <c r="M30"/>
  <c r="O30" s="1"/>
  <c r="M37"/>
  <c r="M39"/>
  <c r="M43"/>
  <c r="K45"/>
  <c r="L45" s="1"/>
  <c r="M33"/>
  <c r="O33" s="1"/>
  <c r="M25"/>
  <c r="M21"/>
  <c r="M17"/>
  <c r="O17" s="1"/>
  <c r="M16"/>
  <c r="O16" s="1"/>
  <c r="M13"/>
  <c r="O13" s="1"/>
  <c r="O16" i="113"/>
  <c r="Q16" s="1"/>
  <c r="O18"/>
  <c r="Q18" s="1"/>
  <c r="O24"/>
  <c r="Q24" s="1"/>
  <c r="O28"/>
  <c r="Q28" s="1"/>
  <c r="O34"/>
  <c r="Q34" s="1"/>
  <c r="O36"/>
  <c r="Q36" s="1"/>
  <c r="O40"/>
  <c r="Q40" s="1"/>
  <c r="O44"/>
  <c r="Q44" s="1"/>
  <c r="M14"/>
  <c r="M15"/>
  <c r="M16"/>
  <c r="M20"/>
  <c r="M22"/>
  <c r="M26"/>
  <c r="M27"/>
  <c r="M28"/>
  <c r="M31"/>
  <c r="M32"/>
  <c r="M36"/>
  <c r="M39"/>
  <c r="M42"/>
  <c r="M43"/>
  <c r="M12"/>
  <c r="N45" i="111"/>
  <c r="O21" i="156"/>
  <c r="O25"/>
  <c r="O39"/>
  <c r="M24" l="1"/>
  <c r="O24" s="1"/>
  <c r="P57" i="114"/>
  <c r="H37" i="96"/>
  <c r="S12" i="5"/>
  <c r="U12" s="1"/>
  <c r="S43"/>
  <c r="U43" s="1"/>
  <c r="S41"/>
  <c r="U41" s="1"/>
  <c r="S39"/>
  <c r="U39" s="1"/>
  <c r="S37"/>
  <c r="U37" s="1"/>
  <c r="S35"/>
  <c r="U35" s="1"/>
  <c r="S33"/>
  <c r="U33" s="1"/>
  <c r="S31"/>
  <c r="U31" s="1"/>
  <c r="S27"/>
  <c r="U27" s="1"/>
  <c r="S25"/>
  <c r="U25" s="1"/>
  <c r="S23"/>
  <c r="U23" s="1"/>
  <c r="S21"/>
  <c r="U21" s="1"/>
  <c r="S19"/>
  <c r="U19" s="1"/>
  <c r="S17"/>
  <c r="U17" s="1"/>
  <c r="S15"/>
  <c r="U15" s="1"/>
  <c r="S13"/>
  <c r="U13" s="1"/>
  <c r="Q19" i="111"/>
  <c r="S44" i="5"/>
  <c r="U44" s="1"/>
  <c r="S42"/>
  <c r="U42" s="1"/>
  <c r="S40"/>
  <c r="U40" s="1"/>
  <c r="S38"/>
  <c r="U38" s="1"/>
  <c r="S36"/>
  <c r="U36" s="1"/>
  <c r="S34"/>
  <c r="U34" s="1"/>
  <c r="S32"/>
  <c r="U32" s="1"/>
  <c r="S30"/>
  <c r="U30" s="1"/>
  <c r="S28"/>
  <c r="U28" s="1"/>
  <c r="S26"/>
  <c r="U26" s="1"/>
  <c r="S24"/>
  <c r="U24" s="1"/>
  <c r="S22"/>
  <c r="U22" s="1"/>
  <c r="S20"/>
  <c r="U20" s="1"/>
  <c r="S18"/>
  <c r="U18" s="1"/>
  <c r="S14"/>
  <c r="U14" s="1"/>
  <c r="AU47" i="7"/>
  <c r="O41" i="113"/>
  <c r="Q41" s="1"/>
  <c r="S41" i="4"/>
  <c r="O37" i="113"/>
  <c r="Q37" s="1"/>
  <c r="S37" i="4"/>
  <c r="N39" i="113"/>
  <c r="N26"/>
  <c r="N42"/>
  <c r="N36"/>
  <c r="N14"/>
  <c r="N40"/>
  <c r="M45" i="156"/>
  <c r="O57" i="114"/>
  <c r="Q57" s="1"/>
  <c r="AC46"/>
  <c r="Q27" i="111"/>
  <c r="Q26"/>
  <c r="Q25"/>
  <c r="Q24"/>
  <c r="Q23"/>
  <c r="Q22"/>
  <c r="Q21"/>
  <c r="Q20"/>
  <c r="Q18"/>
  <c r="Q17"/>
  <c r="Q15"/>
  <c r="Q14"/>
  <c r="Q13"/>
  <c r="O42" i="113"/>
  <c r="Q42" s="1"/>
  <c r="M38"/>
  <c r="M35"/>
  <c r="M34"/>
  <c r="M30"/>
  <c r="M29"/>
  <c r="O26"/>
  <c r="Q26" s="1"/>
  <c r="M25"/>
  <c r="M23"/>
  <c r="M19"/>
  <c r="M17"/>
  <c r="M38" i="156"/>
  <c r="O38" s="1"/>
  <c r="M31"/>
  <c r="O31" s="1"/>
  <c r="M27"/>
  <c r="M23"/>
  <c r="O23" s="1"/>
  <c r="M14"/>
  <c r="O14" s="1"/>
  <c r="I40" i="96"/>
  <c r="S29" i="5"/>
  <c r="U29" s="1"/>
  <c r="AV14" i="7"/>
  <c r="S16" i="5"/>
  <c r="U16" s="1"/>
  <c r="G14" i="145"/>
  <c r="G44" s="1"/>
  <c r="G58" s="1"/>
  <c r="P41" i="156"/>
  <c r="R38" i="111"/>
  <c r="R30"/>
  <c r="P33" i="156"/>
  <c r="N16" i="113"/>
  <c r="N28"/>
  <c r="N27"/>
  <c r="S32" i="4"/>
  <c r="N32" i="113"/>
  <c r="S30" i="4"/>
  <c r="N22" i="113"/>
  <c r="S22" i="4"/>
  <c r="S38"/>
  <c r="N20" i="113"/>
  <c r="S20" i="4"/>
  <c r="S25"/>
  <c r="S29"/>
  <c r="N43" i="113"/>
  <c r="N18"/>
  <c r="S33" i="4"/>
  <c r="N44" i="113"/>
  <c r="N24"/>
  <c r="N21"/>
  <c r="S21" i="4"/>
  <c r="S17"/>
  <c r="S13"/>
  <c r="N12" i="113"/>
  <c r="R26" i="111"/>
  <c r="P29" i="156"/>
  <c r="P15"/>
  <c r="N31" i="113"/>
  <c r="N38"/>
  <c r="N34"/>
  <c r="N30"/>
  <c r="N15"/>
  <c r="N35"/>
  <c r="N23"/>
  <c r="N19"/>
  <c r="N37"/>
  <c r="N29"/>
  <c r="N25"/>
  <c r="N17"/>
  <c r="N41"/>
  <c r="N33"/>
  <c r="M15" i="156"/>
  <c r="O15" s="1"/>
  <c r="P31"/>
  <c r="M29"/>
  <c r="O29" s="1"/>
  <c r="P43"/>
  <c r="P35"/>
  <c r="P27"/>
  <c r="P23"/>
  <c r="P19"/>
  <c r="P17"/>
  <c r="O43" i="113"/>
  <c r="Q43" s="1"/>
  <c r="O39"/>
  <c r="Q39" s="1"/>
  <c r="O35"/>
  <c r="Q35" s="1"/>
  <c r="O31"/>
  <c r="Q31" s="1"/>
  <c r="O27"/>
  <c r="Q27" s="1"/>
  <c r="O23"/>
  <c r="Q23" s="1"/>
  <c r="O19"/>
  <c r="Q19" s="1"/>
  <c r="O15"/>
  <c r="Q15" s="1"/>
  <c r="N13"/>
  <c r="O14"/>
  <c r="Q14" s="1"/>
  <c r="O12"/>
  <c r="Q12" s="1"/>
  <c r="O37" i="156"/>
  <c r="M35"/>
  <c r="M32"/>
  <c r="O32" s="1"/>
  <c r="M40"/>
  <c r="O40" s="1"/>
  <c r="M18"/>
  <c r="O18" s="1"/>
  <c r="M26"/>
  <c r="O26" s="1"/>
  <c r="M34"/>
  <c r="O34" s="1"/>
  <c r="M42"/>
  <c r="O42" s="1"/>
  <c r="M12"/>
  <c r="O12" s="1"/>
  <c r="M20"/>
  <c r="O20" s="1"/>
  <c r="M28"/>
  <c r="O28" s="1"/>
  <c r="M36"/>
  <c r="O36" s="1"/>
  <c r="M44"/>
  <c r="O44" s="1"/>
  <c r="M41"/>
  <c r="O41" s="1"/>
  <c r="O19"/>
  <c r="O43"/>
  <c r="O27"/>
  <c r="O35" l="1"/>
  <c r="O45" i="111"/>
  <c r="D21" i="96" l="1"/>
  <c r="E21"/>
  <c r="F21"/>
  <c r="G21"/>
  <c r="H21"/>
  <c r="I21"/>
  <c r="J21" s="1"/>
  <c r="K21"/>
  <c r="L21"/>
  <c r="M21"/>
  <c r="N21"/>
  <c r="O21"/>
  <c r="P21"/>
  <c r="Q21"/>
  <c r="R21"/>
  <c r="H20" i="147"/>
  <c r="M20"/>
  <c r="N20"/>
  <c r="P20"/>
  <c r="C20"/>
  <c r="H20" i="146"/>
  <c r="M20"/>
  <c r="N20"/>
  <c r="O20"/>
  <c r="P20"/>
  <c r="C20"/>
  <c r="D37" s="1"/>
  <c r="E42" i="124"/>
  <c r="F42"/>
  <c r="G42"/>
  <c r="I42"/>
  <c r="J42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9"/>
  <c r="R42"/>
  <c r="T42" s="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9"/>
  <c r="F45" i="117"/>
  <c r="E45"/>
  <c r="D45"/>
  <c r="C45"/>
  <c r="M15" i="86"/>
  <c r="M17"/>
  <c r="M18"/>
  <c r="M19"/>
  <c r="M24"/>
  <c r="M29"/>
  <c r="M30"/>
  <c r="M31"/>
  <c r="M32"/>
  <c r="M34"/>
  <c r="M35"/>
  <c r="M36"/>
  <c r="M37"/>
  <c r="M41"/>
  <c r="M42"/>
  <c r="M44"/>
  <c r="M45"/>
  <c r="L14"/>
  <c r="M14" s="1"/>
  <c r="L16"/>
  <c r="M16" s="1"/>
  <c r="L20"/>
  <c r="M20" s="1"/>
  <c r="L21"/>
  <c r="M21" s="1"/>
  <c r="L22"/>
  <c r="M22" s="1"/>
  <c r="L23"/>
  <c r="M23" s="1"/>
  <c r="L25"/>
  <c r="M25" s="1"/>
  <c r="L26"/>
  <c r="M26" s="1"/>
  <c r="L27"/>
  <c r="M27" s="1"/>
  <c r="L28"/>
  <c r="M28" s="1"/>
  <c r="L33"/>
  <c r="M33" s="1"/>
  <c r="L38"/>
  <c r="M38" s="1"/>
  <c r="L39"/>
  <c r="M39" s="1"/>
  <c r="L40"/>
  <c r="M40" s="1"/>
  <c r="L43"/>
  <c r="M43" s="1"/>
  <c r="L13"/>
  <c r="R14" i="1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13"/>
  <c r="J14"/>
  <c r="J15"/>
  <c r="J16"/>
  <c r="J17"/>
  <c r="J18"/>
  <c r="S18" s="1"/>
  <c r="J19"/>
  <c r="J20"/>
  <c r="S20" s="1"/>
  <c r="J21"/>
  <c r="J22"/>
  <c r="J23"/>
  <c r="J24"/>
  <c r="J25"/>
  <c r="J26"/>
  <c r="S26" s="1"/>
  <c r="J27"/>
  <c r="J28"/>
  <c r="S28" s="1"/>
  <c r="J29"/>
  <c r="J30"/>
  <c r="J31"/>
  <c r="J32"/>
  <c r="J33"/>
  <c r="J34"/>
  <c r="S34" s="1"/>
  <c r="J35"/>
  <c r="J36"/>
  <c r="S36" s="1"/>
  <c r="J37"/>
  <c r="J38"/>
  <c r="J39"/>
  <c r="J40"/>
  <c r="J41"/>
  <c r="J42"/>
  <c r="S42" s="1"/>
  <c r="J43"/>
  <c r="J44"/>
  <c r="S44" s="1"/>
  <c r="J45"/>
  <c r="J13"/>
  <c r="R15" i="88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R14"/>
  <c r="Q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14"/>
  <c r="J15"/>
  <c r="J16"/>
  <c r="S16" s="1"/>
  <c r="J17"/>
  <c r="J18"/>
  <c r="J19"/>
  <c r="J20"/>
  <c r="S20" s="1"/>
  <c r="J21"/>
  <c r="J22"/>
  <c r="S22" s="1"/>
  <c r="J23"/>
  <c r="J24"/>
  <c r="S24" s="1"/>
  <c r="J25"/>
  <c r="J26"/>
  <c r="J27"/>
  <c r="J28"/>
  <c r="S28" s="1"/>
  <c r="J29"/>
  <c r="J30"/>
  <c r="S30" s="1"/>
  <c r="J31"/>
  <c r="J32"/>
  <c r="S32" s="1"/>
  <c r="J33"/>
  <c r="J34"/>
  <c r="J35"/>
  <c r="J36"/>
  <c r="S36" s="1"/>
  <c r="J37"/>
  <c r="J38"/>
  <c r="S38" s="1"/>
  <c r="J39"/>
  <c r="J40"/>
  <c r="S40" s="1"/>
  <c r="J41"/>
  <c r="J42"/>
  <c r="J43"/>
  <c r="J44"/>
  <c r="S44" s="1"/>
  <c r="J45"/>
  <c r="J46"/>
  <c r="S46" s="1"/>
  <c r="J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14"/>
  <c r="P14" i="75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13"/>
  <c r="O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13"/>
  <c r="H14"/>
  <c r="Q14" s="1"/>
  <c r="H15"/>
  <c r="H16"/>
  <c r="Q16" s="1"/>
  <c r="H17"/>
  <c r="H18"/>
  <c r="Q18" s="1"/>
  <c r="H19"/>
  <c r="H20"/>
  <c r="Q20" s="1"/>
  <c r="H21"/>
  <c r="H22"/>
  <c r="Q22" s="1"/>
  <c r="H23"/>
  <c r="H24"/>
  <c r="Q24" s="1"/>
  <c r="H25"/>
  <c r="H26"/>
  <c r="Q26" s="1"/>
  <c r="H27"/>
  <c r="H28"/>
  <c r="Q28" s="1"/>
  <c r="H29"/>
  <c r="H30"/>
  <c r="Q30" s="1"/>
  <c r="H31"/>
  <c r="H32"/>
  <c r="Q32" s="1"/>
  <c r="H33"/>
  <c r="H34"/>
  <c r="Q34" s="1"/>
  <c r="H35"/>
  <c r="H36"/>
  <c r="Q36" s="1"/>
  <c r="H37"/>
  <c r="H38"/>
  <c r="Q38" s="1"/>
  <c r="H39"/>
  <c r="H40"/>
  <c r="Q40" s="1"/>
  <c r="H41"/>
  <c r="H42"/>
  <c r="Q42" s="1"/>
  <c r="H43"/>
  <c r="H44"/>
  <c r="Q44" s="1"/>
  <c r="H45"/>
  <c r="H46"/>
  <c r="H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13"/>
  <c r="P15" i="7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14"/>
  <c r="K15"/>
  <c r="Q15" s="1"/>
  <c r="K16"/>
  <c r="K17"/>
  <c r="K18"/>
  <c r="K19"/>
  <c r="K20"/>
  <c r="K21"/>
  <c r="K22"/>
  <c r="K23"/>
  <c r="Q23" s="1"/>
  <c r="K24"/>
  <c r="K25"/>
  <c r="K26"/>
  <c r="K27"/>
  <c r="K28"/>
  <c r="K29"/>
  <c r="K30"/>
  <c r="K31"/>
  <c r="Q31" s="1"/>
  <c r="K32"/>
  <c r="K33"/>
  <c r="K34"/>
  <c r="K35"/>
  <c r="K36"/>
  <c r="K37"/>
  <c r="K38"/>
  <c r="K39"/>
  <c r="Q39" s="1"/>
  <c r="K40"/>
  <c r="K41"/>
  <c r="K42"/>
  <c r="K43"/>
  <c r="K44"/>
  <c r="K45"/>
  <c r="K46"/>
  <c r="K14"/>
  <c r="H15"/>
  <c r="H16"/>
  <c r="H17"/>
  <c r="H18"/>
  <c r="Q18" s="1"/>
  <c r="H19"/>
  <c r="H20"/>
  <c r="Q20" s="1"/>
  <c r="H21"/>
  <c r="H22"/>
  <c r="H23"/>
  <c r="H24"/>
  <c r="H25"/>
  <c r="H26"/>
  <c r="Q26" s="1"/>
  <c r="H27"/>
  <c r="H28"/>
  <c r="Q28" s="1"/>
  <c r="H29"/>
  <c r="H30"/>
  <c r="H31"/>
  <c r="H32"/>
  <c r="H33"/>
  <c r="H34"/>
  <c r="Q34" s="1"/>
  <c r="H35"/>
  <c r="H36"/>
  <c r="Q36" s="1"/>
  <c r="H37"/>
  <c r="H38"/>
  <c r="H39"/>
  <c r="H40"/>
  <c r="H41"/>
  <c r="H42"/>
  <c r="Q42" s="1"/>
  <c r="H43"/>
  <c r="H44"/>
  <c r="Q44" s="1"/>
  <c r="H45"/>
  <c r="H46"/>
  <c r="H47"/>
  <c r="H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14"/>
  <c r="D25" i="115"/>
  <c r="C25"/>
  <c r="Q24" i="93"/>
  <c r="Q25"/>
  <c r="Q26"/>
  <c r="Q27"/>
  <c r="Q29"/>
  <c r="Q30"/>
  <c r="Q31"/>
  <c r="Q32"/>
  <c r="Q33"/>
  <c r="Q34"/>
  <c r="Q35"/>
  <c r="Q36"/>
  <c r="Q37"/>
  <c r="Q38"/>
  <c r="Q39"/>
  <c r="Q40"/>
  <c r="Q41"/>
  <c r="Q42"/>
  <c r="Q43"/>
  <c r="Q12"/>
  <c r="Q13"/>
  <c r="Q14"/>
  <c r="Q15"/>
  <c r="Q16"/>
  <c r="Q17"/>
  <c r="Q18"/>
  <c r="Q19"/>
  <c r="Q20"/>
  <c r="Q21"/>
  <c r="Q22"/>
  <c r="Q23"/>
  <c r="Q11"/>
  <c r="T44" i="29"/>
  <c r="J43" i="84"/>
  <c r="L43" s="1"/>
  <c r="D44" i="29"/>
  <c r="E44"/>
  <c r="F44"/>
  <c r="C44"/>
  <c r="I12" i="144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N13" i="74"/>
  <c r="O13" s="1"/>
  <c r="N14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N42"/>
  <c r="O42" s="1"/>
  <c r="N43"/>
  <c r="O43" s="1"/>
  <c r="N44"/>
  <c r="N12"/>
  <c r="G32" i="56"/>
  <c r="I12" i="29"/>
  <c r="I13"/>
  <c r="I14"/>
  <c r="I17"/>
  <c r="I18"/>
  <c r="I20"/>
  <c r="I21"/>
  <c r="I22"/>
  <c r="I25"/>
  <c r="I26"/>
  <c r="I28"/>
  <c r="I29"/>
  <c r="I30"/>
  <c r="I33"/>
  <c r="I34"/>
  <c r="I36"/>
  <c r="I37"/>
  <c r="I38"/>
  <c r="I41"/>
  <c r="I42"/>
  <c r="I11"/>
  <c r="D47" i="88"/>
  <c r="E47"/>
  <c r="F47"/>
  <c r="H47"/>
  <c r="I47"/>
  <c r="K47"/>
  <c r="L47"/>
  <c r="N47"/>
  <c r="O47"/>
  <c r="T47"/>
  <c r="U47"/>
  <c r="V47"/>
  <c r="D46" i="114"/>
  <c r="D56" s="1"/>
  <c r="H46"/>
  <c r="I46"/>
  <c r="K46"/>
  <c r="L46"/>
  <c r="N46"/>
  <c r="O46"/>
  <c r="T46"/>
  <c r="U46"/>
  <c r="V46"/>
  <c r="Z14"/>
  <c r="AA14" s="1"/>
  <c r="AB14" s="1"/>
  <c r="Z15"/>
  <c r="Z16"/>
  <c r="Z17"/>
  <c r="AA17" s="1"/>
  <c r="AB17" s="1"/>
  <c r="Z18"/>
  <c r="Z19"/>
  <c r="Z20"/>
  <c r="Z21"/>
  <c r="Z22"/>
  <c r="AA22" s="1"/>
  <c r="AB22" s="1"/>
  <c r="Z23"/>
  <c r="Z24"/>
  <c r="Z25"/>
  <c r="AA25" s="1"/>
  <c r="AB25" s="1"/>
  <c r="Z26"/>
  <c r="Z27"/>
  <c r="Z28"/>
  <c r="Z29"/>
  <c r="Z30"/>
  <c r="AA30" s="1"/>
  <c r="AB30" s="1"/>
  <c r="Z31"/>
  <c r="Z32"/>
  <c r="Z33"/>
  <c r="AA33" s="1"/>
  <c r="AB33" s="1"/>
  <c r="Z34"/>
  <c r="Z35"/>
  <c r="Z36"/>
  <c r="Z37"/>
  <c r="Z38"/>
  <c r="AA38" s="1"/>
  <c r="AB38" s="1"/>
  <c r="Z39"/>
  <c r="Z40"/>
  <c r="Z41"/>
  <c r="AA41" s="1"/>
  <c r="AB41" s="1"/>
  <c r="Z42"/>
  <c r="Z43"/>
  <c r="Z44"/>
  <c r="Z45"/>
  <c r="Z13"/>
  <c r="AL15" i="88"/>
  <c r="AM15" s="1"/>
  <c r="AN15" s="1"/>
  <c r="AL16"/>
  <c r="AM16" s="1"/>
  <c r="AN16" s="1"/>
  <c r="AL17"/>
  <c r="AL18"/>
  <c r="AL19"/>
  <c r="AL20"/>
  <c r="AM20" s="1"/>
  <c r="AN20" s="1"/>
  <c r="AL21"/>
  <c r="AL22"/>
  <c r="AL23"/>
  <c r="AM23" s="1"/>
  <c r="AL24"/>
  <c r="AM24" s="1"/>
  <c r="AN24" s="1"/>
  <c r="AL25"/>
  <c r="AM25" s="1"/>
  <c r="AL26"/>
  <c r="AM26" s="1"/>
  <c r="AN26" s="1"/>
  <c r="AL27"/>
  <c r="AM27" s="1"/>
  <c r="AL28"/>
  <c r="AM28" s="1"/>
  <c r="AN28" s="1"/>
  <c r="AL29"/>
  <c r="AM29" s="1"/>
  <c r="AL30"/>
  <c r="AM30" s="1"/>
  <c r="AN30" s="1"/>
  <c r="AL31"/>
  <c r="AM31" s="1"/>
  <c r="AL32"/>
  <c r="AM32" s="1"/>
  <c r="AN32" s="1"/>
  <c r="AL33"/>
  <c r="AL34"/>
  <c r="AM34" s="1"/>
  <c r="AN34" s="1"/>
  <c r="AL35"/>
  <c r="AM35" s="1"/>
  <c r="AL36"/>
  <c r="AM36" s="1"/>
  <c r="AN36" s="1"/>
  <c r="AL37"/>
  <c r="AM37" s="1"/>
  <c r="AL38"/>
  <c r="AM38" s="1"/>
  <c r="AN38" s="1"/>
  <c r="AL39"/>
  <c r="AM39" s="1"/>
  <c r="AL40"/>
  <c r="AM40" s="1"/>
  <c r="AN40" s="1"/>
  <c r="AL41"/>
  <c r="AM41" s="1"/>
  <c r="AL42"/>
  <c r="AM42" s="1"/>
  <c r="AN42" s="1"/>
  <c r="AL43"/>
  <c r="AM43" s="1"/>
  <c r="AL44"/>
  <c r="AM44" s="1"/>
  <c r="AN44" s="1"/>
  <c r="AL45"/>
  <c r="AM45" s="1"/>
  <c r="AL46"/>
  <c r="AM46" s="1"/>
  <c r="AN46" s="1"/>
  <c r="AL14"/>
  <c r="AM14" s="1"/>
  <c r="AN14" s="1"/>
  <c r="AM18"/>
  <c r="AN18" s="1"/>
  <c r="AM22"/>
  <c r="AN22" s="1"/>
  <c r="AM33"/>
  <c r="J13" i="11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12"/>
  <c r="J13" i="4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12"/>
  <c r="AP27" i="74"/>
  <c r="AM27"/>
  <c r="AN27" s="1"/>
  <c r="AJ26"/>
  <c r="AK26" s="1"/>
  <c r="AH13"/>
  <c r="AI13" s="1"/>
  <c r="AH14"/>
  <c r="AI14" s="1"/>
  <c r="AJ14" s="1"/>
  <c r="AH15"/>
  <c r="AJ15" s="1"/>
  <c r="AH16"/>
  <c r="AI16" s="1"/>
  <c r="AH17"/>
  <c r="AI17" s="1"/>
  <c r="AH18"/>
  <c r="AI18" s="1"/>
  <c r="AH19"/>
  <c r="AI19" s="1"/>
  <c r="AH20"/>
  <c r="AI20" s="1"/>
  <c r="AH21"/>
  <c r="AI21" s="1"/>
  <c r="AH22"/>
  <c r="AI22" s="1"/>
  <c r="AH23"/>
  <c r="AI23" s="1"/>
  <c r="AH24"/>
  <c r="AI24" s="1"/>
  <c r="AH25"/>
  <c r="AI25" s="1"/>
  <c r="AH26"/>
  <c r="AI26" s="1"/>
  <c r="AH27"/>
  <c r="AI27" s="1"/>
  <c r="AH28"/>
  <c r="AI28" s="1"/>
  <c r="AH29"/>
  <c r="AI29" s="1"/>
  <c r="AH30"/>
  <c r="AI30" s="1"/>
  <c r="AH31"/>
  <c r="AI31" s="1"/>
  <c r="AH32"/>
  <c r="AI32" s="1"/>
  <c r="AH33"/>
  <c r="AI33" s="1"/>
  <c r="AH34"/>
  <c r="AI34" s="1"/>
  <c r="AH35"/>
  <c r="AI35" s="1"/>
  <c r="AH36"/>
  <c r="AI36" s="1"/>
  <c r="AH37"/>
  <c r="AI37" s="1"/>
  <c r="AH38"/>
  <c r="AI38" s="1"/>
  <c r="AH39"/>
  <c r="AI39" s="1"/>
  <c r="AH40"/>
  <c r="AI40" s="1"/>
  <c r="AH41"/>
  <c r="AI41" s="1"/>
  <c r="AH42"/>
  <c r="AI42" s="1"/>
  <c r="AH43"/>
  <c r="AI43" s="1"/>
  <c r="AH44"/>
  <c r="AJ44" s="1"/>
  <c r="AH12"/>
  <c r="AI12" s="1"/>
  <c r="AB14" i="60"/>
  <c r="W8" i="5"/>
  <c r="X8" s="1"/>
  <c r="Y8"/>
  <c r="AE23" i="74"/>
  <c r="AD13"/>
  <c r="AE13" s="1"/>
  <c r="AD14"/>
  <c r="AE14" s="1"/>
  <c r="AD15"/>
  <c r="AE15" s="1"/>
  <c r="AD16"/>
  <c r="AE16" s="1"/>
  <c r="AD17"/>
  <c r="AE17" s="1"/>
  <c r="AD18"/>
  <c r="AE18" s="1"/>
  <c r="AD19"/>
  <c r="AE19" s="1"/>
  <c r="AD20"/>
  <c r="AE20" s="1"/>
  <c r="AD21"/>
  <c r="AE21" s="1"/>
  <c r="AD22"/>
  <c r="AE22" s="1"/>
  <c r="AD23"/>
  <c r="AD24"/>
  <c r="AE24" s="1"/>
  <c r="AD25"/>
  <c r="AE25" s="1"/>
  <c r="AD26"/>
  <c r="AE26" s="1"/>
  <c r="AD27"/>
  <c r="AE27" s="1"/>
  <c r="AD28"/>
  <c r="AE28" s="1"/>
  <c r="AD29"/>
  <c r="AE29" s="1"/>
  <c r="AD30"/>
  <c r="AE30" s="1"/>
  <c r="AD31"/>
  <c r="AE31" s="1"/>
  <c r="AD32"/>
  <c r="AE32" s="1"/>
  <c r="AD33"/>
  <c r="AE33" s="1"/>
  <c r="AD34"/>
  <c r="AE34" s="1"/>
  <c r="AD35"/>
  <c r="AE35" s="1"/>
  <c r="AD36"/>
  <c r="AE36" s="1"/>
  <c r="AD37"/>
  <c r="AE37" s="1"/>
  <c r="AD38"/>
  <c r="AE38" s="1"/>
  <c r="AD39"/>
  <c r="AE39" s="1"/>
  <c r="AD40"/>
  <c r="AE40" s="1"/>
  <c r="AD41"/>
  <c r="AE41" s="1"/>
  <c r="AD42"/>
  <c r="AE42" s="1"/>
  <c r="AD43"/>
  <c r="AE43" s="1"/>
  <c r="AD44"/>
  <c r="AE44" s="1"/>
  <c r="AD12"/>
  <c r="AE12" s="1"/>
  <c r="W44" i="47"/>
  <c r="Z13" i="74"/>
  <c r="AA13" s="1"/>
  <c r="Z14"/>
  <c r="AA14" s="1"/>
  <c r="Z15"/>
  <c r="AA15" s="1"/>
  <c r="Z16"/>
  <c r="AA16" s="1"/>
  <c r="Z17"/>
  <c r="AA17" s="1"/>
  <c r="Z18"/>
  <c r="AA18" s="1"/>
  <c r="Z19"/>
  <c r="AA19" s="1"/>
  <c r="Z20"/>
  <c r="AA20" s="1"/>
  <c r="Z21"/>
  <c r="AA21" s="1"/>
  <c r="Z22"/>
  <c r="AA22" s="1"/>
  <c r="Z23"/>
  <c r="AA23" s="1"/>
  <c r="Z24"/>
  <c r="AA24" s="1"/>
  <c r="Z25"/>
  <c r="AA25" s="1"/>
  <c r="Z26"/>
  <c r="AA26" s="1"/>
  <c r="Z27"/>
  <c r="AA27" s="1"/>
  <c r="Z28"/>
  <c r="AA28" s="1"/>
  <c r="Z29"/>
  <c r="AA29" s="1"/>
  <c r="Z30"/>
  <c r="AA30" s="1"/>
  <c r="Z31"/>
  <c r="AA31" s="1"/>
  <c r="Z32"/>
  <c r="AA32" s="1"/>
  <c r="Z33"/>
  <c r="AA33" s="1"/>
  <c r="Z34"/>
  <c r="AA34" s="1"/>
  <c r="Z35"/>
  <c r="AA35" s="1"/>
  <c r="Z36"/>
  <c r="AA36" s="1"/>
  <c r="Z37"/>
  <c r="AA37" s="1"/>
  <c r="Z38"/>
  <c r="AA38" s="1"/>
  <c r="Z39"/>
  <c r="AA39" s="1"/>
  <c r="Z40"/>
  <c r="AA40" s="1"/>
  <c r="Z41"/>
  <c r="AA41" s="1"/>
  <c r="Z42"/>
  <c r="AA42" s="1"/>
  <c r="Z43"/>
  <c r="AA43" s="1"/>
  <c r="Z44"/>
  <c r="AA44" s="1"/>
  <c r="Z12"/>
  <c r="AA12" s="1"/>
  <c r="S44" i="60"/>
  <c r="M12" i="47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11"/>
  <c r="Y12" i="60"/>
  <c r="Y14"/>
  <c r="AA15" s="1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11"/>
  <c r="S43" i="88" l="1"/>
  <c r="S41"/>
  <c r="S35"/>
  <c r="S33"/>
  <c r="S27"/>
  <c r="S25"/>
  <c r="S19"/>
  <c r="S17"/>
  <c r="S39" i="114"/>
  <c r="S31"/>
  <c r="S23"/>
  <c r="S15"/>
  <c r="AA13"/>
  <c r="AB13" s="1"/>
  <c r="S42" i="124"/>
  <c r="K42" i="4"/>
  <c r="L42"/>
  <c r="U42"/>
  <c r="T42"/>
  <c r="K38"/>
  <c r="L38"/>
  <c r="U38"/>
  <c r="T38"/>
  <c r="K34"/>
  <c r="L34"/>
  <c r="U34"/>
  <c r="T34"/>
  <c r="K30"/>
  <c r="L30"/>
  <c r="U30"/>
  <c r="T30"/>
  <c r="K26"/>
  <c r="L26"/>
  <c r="U26"/>
  <c r="T26"/>
  <c r="K22"/>
  <c r="L22"/>
  <c r="U22"/>
  <c r="T22"/>
  <c r="K18"/>
  <c r="L18"/>
  <c r="U18"/>
  <c r="T18"/>
  <c r="K14"/>
  <c r="U14"/>
  <c r="T14"/>
  <c r="L14"/>
  <c r="L43" i="111"/>
  <c r="K43"/>
  <c r="L41"/>
  <c r="K41"/>
  <c r="L37"/>
  <c r="K37"/>
  <c r="L35"/>
  <c r="K35"/>
  <c r="L33"/>
  <c r="K33"/>
  <c r="L31"/>
  <c r="K31"/>
  <c r="L29"/>
  <c r="K29"/>
  <c r="L27"/>
  <c r="K27"/>
  <c r="L25"/>
  <c r="K25"/>
  <c r="L23"/>
  <c r="K23"/>
  <c r="L21"/>
  <c r="K21"/>
  <c r="L19"/>
  <c r="K19"/>
  <c r="L17"/>
  <c r="K17"/>
  <c r="L13"/>
  <c r="K13"/>
  <c r="L12" i="4"/>
  <c r="U12"/>
  <c r="T12"/>
  <c r="K12"/>
  <c r="L43"/>
  <c r="U43"/>
  <c r="T43"/>
  <c r="K43"/>
  <c r="L41"/>
  <c r="U41"/>
  <c r="T41"/>
  <c r="K41"/>
  <c r="L39"/>
  <c r="U39"/>
  <c r="T39"/>
  <c r="K39"/>
  <c r="L37"/>
  <c r="U37"/>
  <c r="T37"/>
  <c r="K37"/>
  <c r="L35"/>
  <c r="U35"/>
  <c r="T35"/>
  <c r="K35"/>
  <c r="L33"/>
  <c r="U33"/>
  <c r="T33"/>
  <c r="K33"/>
  <c r="L31"/>
  <c r="U31"/>
  <c r="T31"/>
  <c r="K31"/>
  <c r="L29"/>
  <c r="U29"/>
  <c r="T29"/>
  <c r="K29"/>
  <c r="L27"/>
  <c r="U27"/>
  <c r="T27"/>
  <c r="K27"/>
  <c r="L25"/>
  <c r="U25"/>
  <c r="T25"/>
  <c r="K25"/>
  <c r="L23"/>
  <c r="U23"/>
  <c r="T23"/>
  <c r="K23"/>
  <c r="L21"/>
  <c r="U21"/>
  <c r="T21"/>
  <c r="K21"/>
  <c r="L19"/>
  <c r="U19"/>
  <c r="T19"/>
  <c r="K19"/>
  <c r="L17"/>
  <c r="U17"/>
  <c r="T17"/>
  <c r="K17"/>
  <c r="L15"/>
  <c r="K15"/>
  <c r="L13"/>
  <c r="K13"/>
  <c r="U13"/>
  <c r="T13"/>
  <c r="K44" i="111"/>
  <c r="L44"/>
  <c r="K42"/>
  <c r="L42"/>
  <c r="K40"/>
  <c r="L40"/>
  <c r="K38"/>
  <c r="L38"/>
  <c r="K36"/>
  <c r="L36"/>
  <c r="K34"/>
  <c r="L34"/>
  <c r="K32"/>
  <c r="L32"/>
  <c r="K30"/>
  <c r="L30"/>
  <c r="K28"/>
  <c r="L28"/>
  <c r="K26"/>
  <c r="L26"/>
  <c r="K24"/>
  <c r="L24"/>
  <c r="K22"/>
  <c r="L22"/>
  <c r="K20"/>
  <c r="L20"/>
  <c r="K18"/>
  <c r="L18"/>
  <c r="K16"/>
  <c r="L16"/>
  <c r="K14"/>
  <c r="L14"/>
  <c r="Q46" i="114"/>
  <c r="Q47" i="88"/>
  <c r="Q14" i="7"/>
  <c r="P46" i="114"/>
  <c r="M46"/>
  <c r="R46"/>
  <c r="P47" i="88"/>
  <c r="M47"/>
  <c r="R47"/>
  <c r="G47"/>
  <c r="Q45" i="7"/>
  <c r="Q43"/>
  <c r="Q41"/>
  <c r="Q37"/>
  <c r="Q35"/>
  <c r="Q33"/>
  <c r="Q29"/>
  <c r="Q27"/>
  <c r="Q25"/>
  <c r="Q21"/>
  <c r="Q19"/>
  <c r="Q17"/>
  <c r="Q46"/>
  <c r="Q40"/>
  <c r="Q38"/>
  <c r="Q32"/>
  <c r="Q30"/>
  <c r="Q24"/>
  <c r="Q22"/>
  <c r="Q16"/>
  <c r="Q13" i="75"/>
  <c r="Q45"/>
  <c r="Q43"/>
  <c r="Q41"/>
  <c r="Q39"/>
  <c r="Q37"/>
  <c r="Q35"/>
  <c r="Q33"/>
  <c r="Q31"/>
  <c r="Q29"/>
  <c r="Q27"/>
  <c r="Q25"/>
  <c r="Q23"/>
  <c r="Q21"/>
  <c r="Q19"/>
  <c r="Q17"/>
  <c r="Q15"/>
  <c r="S14" i="88"/>
  <c r="S45"/>
  <c r="S39"/>
  <c r="S37"/>
  <c r="S31"/>
  <c r="S29"/>
  <c r="S23"/>
  <c r="S21"/>
  <c r="S15"/>
  <c r="S42"/>
  <c r="S34"/>
  <c r="S26"/>
  <c r="S18"/>
  <c r="S45" i="114"/>
  <c r="S43"/>
  <c r="S41"/>
  <c r="S37"/>
  <c r="S35"/>
  <c r="S33"/>
  <c r="S29"/>
  <c r="S27"/>
  <c r="S25"/>
  <c r="S21"/>
  <c r="S19"/>
  <c r="S17"/>
  <c r="S13"/>
  <c r="S40"/>
  <c r="S38"/>
  <c r="S32"/>
  <c r="S30"/>
  <c r="S24"/>
  <c r="S22"/>
  <c r="S16"/>
  <c r="S14"/>
  <c r="L46" i="86"/>
  <c r="M46" s="1"/>
  <c r="O42" i="124"/>
  <c r="K44" i="4"/>
  <c r="L44"/>
  <c r="U44"/>
  <c r="T44"/>
  <c r="K40"/>
  <c r="L40"/>
  <c r="U40"/>
  <c r="T40"/>
  <c r="K36"/>
  <c r="L36"/>
  <c r="U36"/>
  <c r="T36"/>
  <c r="K32"/>
  <c r="L32"/>
  <c r="U32"/>
  <c r="T32"/>
  <c r="K28"/>
  <c r="L28"/>
  <c r="U28"/>
  <c r="T28"/>
  <c r="K24"/>
  <c r="L24"/>
  <c r="U24"/>
  <c r="T24"/>
  <c r="K20"/>
  <c r="L20"/>
  <c r="U20"/>
  <c r="T20"/>
  <c r="K16"/>
  <c r="L16"/>
  <c r="U16"/>
  <c r="T16"/>
  <c r="L12" i="111"/>
  <c r="K12"/>
  <c r="L39"/>
  <c r="K39"/>
  <c r="L15"/>
  <c r="K15"/>
  <c r="E20" i="147"/>
  <c r="F20" s="1"/>
  <c r="D37"/>
  <c r="G44" i="29"/>
  <c r="G59" s="1"/>
  <c r="M40"/>
  <c r="I40"/>
  <c r="M32"/>
  <c r="I32"/>
  <c r="M24"/>
  <c r="I24"/>
  <c r="M16"/>
  <c r="I16"/>
  <c r="M43"/>
  <c r="I43"/>
  <c r="M39"/>
  <c r="I39"/>
  <c r="M35"/>
  <c r="I35"/>
  <c r="M31"/>
  <c r="I31"/>
  <c r="M27"/>
  <c r="I27"/>
  <c r="M23"/>
  <c r="I23"/>
  <c r="M19"/>
  <c r="I19"/>
  <c r="M15"/>
  <c r="I15"/>
  <c r="T15" i="4"/>
  <c r="U15"/>
  <c r="AA42" i="114"/>
  <c r="AB42" s="1"/>
  <c r="AA34"/>
  <c r="AB34" s="1"/>
  <c r="AA26"/>
  <c r="AB26" s="1"/>
  <c r="AA18"/>
  <c r="AB18" s="1"/>
  <c r="M41" i="29"/>
  <c r="U41" s="1"/>
  <c r="V41" s="1"/>
  <c r="M33"/>
  <c r="U33" s="1"/>
  <c r="V33" s="1"/>
  <c r="M25"/>
  <c r="U25" s="1"/>
  <c r="V25" s="1"/>
  <c r="M17"/>
  <c r="U17" s="1"/>
  <c r="V17" s="1"/>
  <c r="AN41" i="88"/>
  <c r="AN33"/>
  <c r="AN25"/>
  <c r="AA43" i="114"/>
  <c r="AB43" s="1"/>
  <c r="AA35"/>
  <c r="AB35" s="1"/>
  <c r="AA27"/>
  <c r="AB27" s="1"/>
  <c r="AA19"/>
  <c r="AB19" s="1"/>
  <c r="I11" i="144"/>
  <c r="M42" i="29"/>
  <c r="U42" s="1"/>
  <c r="V42" s="1"/>
  <c r="M34"/>
  <c r="U34" s="1"/>
  <c r="V34" s="1"/>
  <c r="M26"/>
  <c r="U26" s="1"/>
  <c r="V26" s="1"/>
  <c r="M18"/>
  <c r="U18" s="1"/>
  <c r="V18" s="1"/>
  <c r="AA44" i="114"/>
  <c r="AB44" s="1"/>
  <c r="AA36"/>
  <c r="AB36" s="1"/>
  <c r="AA28"/>
  <c r="AB28" s="1"/>
  <c r="AA20"/>
  <c r="AB20" s="1"/>
  <c r="M13" i="86"/>
  <c r="AN43" i="88"/>
  <c r="AN35"/>
  <c r="AN27"/>
  <c r="AA45" i="114"/>
  <c r="AB45" s="1"/>
  <c r="AA37"/>
  <c r="AB37" s="1"/>
  <c r="AA29"/>
  <c r="AB29" s="1"/>
  <c r="AA21"/>
  <c r="AB21" s="1"/>
  <c r="N45" i="74"/>
  <c r="O45" s="1"/>
  <c r="M36" i="29"/>
  <c r="U36" s="1"/>
  <c r="V36" s="1"/>
  <c r="M28"/>
  <c r="U28" s="1"/>
  <c r="V28" s="1"/>
  <c r="M20"/>
  <c r="U20" s="1"/>
  <c r="V20" s="1"/>
  <c r="M12"/>
  <c r="U12" s="1"/>
  <c r="V12" s="1"/>
  <c r="J45" i="4"/>
  <c r="M37" i="29"/>
  <c r="U37" s="1"/>
  <c r="V37" s="1"/>
  <c r="M29"/>
  <c r="U29" s="1"/>
  <c r="V29" s="1"/>
  <c r="M21"/>
  <c r="U21" s="1"/>
  <c r="V21" s="1"/>
  <c r="M13"/>
  <c r="U13" s="1"/>
  <c r="V13" s="1"/>
  <c r="J47" i="88"/>
  <c r="S47" s="1"/>
  <c r="AN45"/>
  <c r="AN37"/>
  <c r="AN29"/>
  <c r="AA39" i="114"/>
  <c r="AB39" s="1"/>
  <c r="AA31"/>
  <c r="AB31" s="1"/>
  <c r="AA23"/>
  <c r="AB23" s="1"/>
  <c r="AA15"/>
  <c r="AB15" s="1"/>
  <c r="M38" i="29"/>
  <c r="U38" s="1"/>
  <c r="V38" s="1"/>
  <c r="M30"/>
  <c r="U30" s="1"/>
  <c r="V30" s="1"/>
  <c r="M22"/>
  <c r="U22" s="1"/>
  <c r="V22" s="1"/>
  <c r="M14"/>
  <c r="U14" s="1"/>
  <c r="V14" s="1"/>
  <c r="AI44" i="74"/>
  <c r="AA40" i="114"/>
  <c r="AB40" s="1"/>
  <c r="AA32"/>
  <c r="AB32" s="1"/>
  <c r="AA24"/>
  <c r="AB24" s="1"/>
  <c r="AA16"/>
  <c r="AB16" s="1"/>
  <c r="J46"/>
  <c r="S46" s="1"/>
  <c r="AN39" i="88"/>
  <c r="AN31"/>
  <c r="AN23"/>
  <c r="O12" i="74"/>
  <c r="I44" i="29"/>
  <c r="AM21" i="88"/>
  <c r="AN21" s="1"/>
  <c r="AM19"/>
  <c r="AN19" s="1"/>
  <c r="AM17"/>
  <c r="AN17" s="1"/>
  <c r="AJ29" i="74"/>
  <c r="AK29" s="1"/>
  <c r="AJ27"/>
  <c r="AK27"/>
  <c r="AL27" s="1"/>
  <c r="AA45"/>
  <c r="AK15"/>
  <c r="AL15" s="1"/>
  <c r="AI15"/>
  <c r="W40" i="29" l="1"/>
  <c r="X40" s="1"/>
  <c r="V13" i="4"/>
  <c r="W13"/>
  <c r="V18"/>
  <c r="W18"/>
  <c r="V22"/>
  <c r="W22"/>
  <c r="V26"/>
  <c r="W26"/>
  <c r="V30"/>
  <c r="W30"/>
  <c r="V34"/>
  <c r="W34"/>
  <c r="V38"/>
  <c r="W38"/>
  <c r="V42"/>
  <c r="W42"/>
  <c r="W17" i="29"/>
  <c r="X17" s="1"/>
  <c r="W22"/>
  <c r="X22" s="1"/>
  <c r="W29"/>
  <c r="X29" s="1"/>
  <c r="W36"/>
  <c r="X36" s="1"/>
  <c r="W42"/>
  <c r="X42" s="1"/>
  <c r="W14"/>
  <c r="X14" s="1"/>
  <c r="W21"/>
  <c r="X21" s="1"/>
  <c r="W28"/>
  <c r="X28" s="1"/>
  <c r="W34"/>
  <c r="X34" s="1"/>
  <c r="W41"/>
  <c r="X41" s="1"/>
  <c r="U15"/>
  <c r="V15" s="1"/>
  <c r="W15"/>
  <c r="X15" s="1"/>
  <c r="U19"/>
  <c r="V19" s="1"/>
  <c r="W19"/>
  <c r="X19" s="1"/>
  <c r="U23"/>
  <c r="V23" s="1"/>
  <c r="W23"/>
  <c r="X23" s="1"/>
  <c r="U27"/>
  <c r="V27" s="1"/>
  <c r="W27"/>
  <c r="X27" s="1"/>
  <c r="U31"/>
  <c r="V31" s="1"/>
  <c r="W31"/>
  <c r="X31" s="1"/>
  <c r="U35"/>
  <c r="V35" s="1"/>
  <c r="W35"/>
  <c r="X35" s="1"/>
  <c r="U39"/>
  <c r="V39" s="1"/>
  <c r="W39"/>
  <c r="X39" s="1"/>
  <c r="U43"/>
  <c r="V43" s="1"/>
  <c r="W43"/>
  <c r="X43" s="1"/>
  <c r="U16"/>
  <c r="V16" s="1"/>
  <c r="W16"/>
  <c r="X16" s="1"/>
  <c r="U24"/>
  <c r="V24" s="1"/>
  <c r="W24"/>
  <c r="X24" s="1"/>
  <c r="U32"/>
  <c r="V32" s="1"/>
  <c r="W32"/>
  <c r="X32" s="1"/>
  <c r="V16" i="4"/>
  <c r="W16" s="1"/>
  <c r="V20"/>
  <c r="W20" s="1"/>
  <c r="V24"/>
  <c r="W24" s="1"/>
  <c r="V28"/>
  <c r="W28" s="1"/>
  <c r="V32"/>
  <c r="W32" s="1"/>
  <c r="V36"/>
  <c r="W36" s="1"/>
  <c r="V40"/>
  <c r="W40" s="1"/>
  <c r="V44"/>
  <c r="W44" s="1"/>
  <c r="V17"/>
  <c r="W17" s="1"/>
  <c r="W19"/>
  <c r="V19"/>
  <c r="W21"/>
  <c r="V21"/>
  <c r="W23"/>
  <c r="V23"/>
  <c r="W25"/>
  <c r="V25"/>
  <c r="W27"/>
  <c r="V27"/>
  <c r="W29"/>
  <c r="V29"/>
  <c r="W31"/>
  <c r="V31"/>
  <c r="W33"/>
  <c r="V33"/>
  <c r="W35"/>
  <c r="V35"/>
  <c r="W37"/>
  <c r="V37"/>
  <c r="W39"/>
  <c r="V39"/>
  <c r="W41"/>
  <c r="V41"/>
  <c r="W43"/>
  <c r="V43"/>
  <c r="W12"/>
  <c r="V12"/>
  <c r="W14"/>
  <c r="V14"/>
  <c r="W13" i="29"/>
  <c r="X13" s="1"/>
  <c r="W20"/>
  <c r="X20" s="1"/>
  <c r="W26"/>
  <c r="X26" s="1"/>
  <c r="W33"/>
  <c r="X33" s="1"/>
  <c r="W38"/>
  <c r="X38" s="1"/>
  <c r="W12"/>
  <c r="X12" s="1"/>
  <c r="W18"/>
  <c r="X18" s="1"/>
  <c r="W25"/>
  <c r="X25" s="1"/>
  <c r="W30"/>
  <c r="X30" s="1"/>
  <c r="W37"/>
  <c r="X37" s="1"/>
  <c r="G20" i="147"/>
  <c r="H37" s="1"/>
  <c r="G37"/>
  <c r="U40" i="29"/>
  <c r="V40" s="1"/>
  <c r="V15" i="4"/>
  <c r="W15" s="1"/>
  <c r="I44" i="144"/>
  <c r="I37" i="147" l="1"/>
  <c r="N41" i="98"/>
  <c r="O41"/>
  <c r="P41" s="1"/>
  <c r="O40"/>
  <c r="N40"/>
  <c r="P40" s="1"/>
  <c r="E41"/>
  <c r="F41" s="1"/>
  <c r="G40"/>
  <c r="F40"/>
  <c r="AK15" i="7"/>
  <c r="AL15" s="1"/>
  <c r="AK16"/>
  <c r="AL16" s="1"/>
  <c r="AK17"/>
  <c r="AL17" s="1"/>
  <c r="AK18"/>
  <c r="AL18" s="1"/>
  <c r="AK19"/>
  <c r="AL19" s="1"/>
  <c r="AK20"/>
  <c r="AL20" s="1"/>
  <c r="AK21"/>
  <c r="AL21" s="1"/>
  <c r="AK22"/>
  <c r="AL22" s="1"/>
  <c r="AK23"/>
  <c r="AL23" s="1"/>
  <c r="AK24"/>
  <c r="AL24" s="1"/>
  <c r="AK25"/>
  <c r="AL25" s="1"/>
  <c r="AK26"/>
  <c r="AL26" s="1"/>
  <c r="AK27"/>
  <c r="AL27" s="1"/>
  <c r="AK28"/>
  <c r="AL28" s="1"/>
  <c r="AK29"/>
  <c r="AL29" s="1"/>
  <c r="AK30"/>
  <c r="AL30" s="1"/>
  <c r="AK31"/>
  <c r="AL31" s="1"/>
  <c r="AK32"/>
  <c r="AL32" s="1"/>
  <c r="AK33"/>
  <c r="AL33" s="1"/>
  <c r="AK34"/>
  <c r="AL34" s="1"/>
  <c r="AK35"/>
  <c r="AL35" s="1"/>
  <c r="AK36"/>
  <c r="AL36" s="1"/>
  <c r="AK37"/>
  <c r="AL37" s="1"/>
  <c r="AK38"/>
  <c r="AL38" s="1"/>
  <c r="AK39"/>
  <c r="AL39" s="1"/>
  <c r="AK40"/>
  <c r="AL40" s="1"/>
  <c r="AK41"/>
  <c r="AL41" s="1"/>
  <c r="AK42"/>
  <c r="AL42" s="1"/>
  <c r="AK43"/>
  <c r="AL43" s="1"/>
  <c r="AK44"/>
  <c r="AL44" s="1"/>
  <c r="AK45"/>
  <c r="AL45" s="1"/>
  <c r="AK46"/>
  <c r="AL46" s="1"/>
  <c r="AK47"/>
  <c r="AL47" s="1"/>
  <c r="AK14"/>
  <c r="AL14" s="1"/>
  <c r="AC14" i="75"/>
  <c r="AD14" s="1"/>
  <c r="AC15"/>
  <c r="AD15" s="1"/>
  <c r="AC16"/>
  <c r="AD16" s="1"/>
  <c r="AC17"/>
  <c r="AD17" s="1"/>
  <c r="AC18"/>
  <c r="AD18" s="1"/>
  <c r="AC19"/>
  <c r="AD19" s="1"/>
  <c r="AC20"/>
  <c r="AD20" s="1"/>
  <c r="AC21"/>
  <c r="AD21" s="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29"/>
  <c r="AD29" s="1"/>
  <c r="AC30"/>
  <c r="AD30" s="1"/>
  <c r="AC31"/>
  <c r="AD31" s="1"/>
  <c r="AC32"/>
  <c r="AD32" s="1"/>
  <c r="AC33"/>
  <c r="AD33" s="1"/>
  <c r="AC34"/>
  <c r="AD34" s="1"/>
  <c r="AC35"/>
  <c r="AD35" s="1"/>
  <c r="AC36"/>
  <c r="AD36" s="1"/>
  <c r="AC37"/>
  <c r="AD37" s="1"/>
  <c r="AC38"/>
  <c r="AD38" s="1"/>
  <c r="AC39"/>
  <c r="AD39" s="1"/>
  <c r="AC40"/>
  <c r="AD40" s="1"/>
  <c r="AC41"/>
  <c r="AD41" s="1"/>
  <c r="AC42"/>
  <c r="AD42" s="1"/>
  <c r="AC43"/>
  <c r="AD43" s="1"/>
  <c r="AC44"/>
  <c r="AD44" s="1"/>
  <c r="AC45"/>
  <c r="AD45" s="1"/>
  <c r="AC46"/>
  <c r="AD46" s="1"/>
  <c r="AC13"/>
  <c r="AD13" s="1"/>
  <c r="R13" i="74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12"/>
  <c r="L12" i="47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11"/>
  <c r="R11" s="1"/>
  <c r="AB44"/>
  <c r="V44" i="60"/>
  <c r="D45" i="111"/>
  <c r="E45"/>
  <c r="G45"/>
  <c r="M45" s="1"/>
  <c r="H45"/>
  <c r="C45"/>
  <c r="D45" i="4"/>
  <c r="N45" s="1"/>
  <c r="G45"/>
  <c r="O45" s="1"/>
  <c r="C45"/>
  <c r="D42" i="100"/>
  <c r="K42" s="1"/>
  <c r="E42"/>
  <c r="G42"/>
  <c r="C42"/>
  <c r="I25" i="148"/>
  <c r="J25"/>
  <c r="K25"/>
  <c r="I25" i="149"/>
  <c r="J25"/>
  <c r="K25"/>
  <c r="L25"/>
  <c r="D25"/>
  <c r="E25"/>
  <c r="F25"/>
  <c r="G25"/>
  <c r="C25"/>
  <c r="D25" i="148"/>
  <c r="E25"/>
  <c r="F25"/>
  <c r="G25"/>
  <c r="C25"/>
  <c r="L13"/>
  <c r="L14"/>
  <c r="L15"/>
  <c r="L16"/>
  <c r="L17"/>
  <c r="L18"/>
  <c r="L19"/>
  <c r="L20"/>
  <c r="L21"/>
  <c r="L22"/>
  <c r="L23"/>
  <c r="L24"/>
  <c r="L12"/>
  <c r="L25" s="1"/>
  <c r="H13" i="149"/>
  <c r="H14"/>
  <c r="H15"/>
  <c r="H16"/>
  <c r="H17"/>
  <c r="H18"/>
  <c r="H19"/>
  <c r="H20"/>
  <c r="H21"/>
  <c r="H22"/>
  <c r="H23"/>
  <c r="H24"/>
  <c r="H12"/>
  <c r="H13" i="148"/>
  <c r="H14"/>
  <c r="H15"/>
  <c r="H16"/>
  <c r="H17"/>
  <c r="H18"/>
  <c r="H19"/>
  <c r="H20"/>
  <c r="H21"/>
  <c r="H22"/>
  <c r="H23"/>
  <c r="H24"/>
  <c r="H12"/>
  <c r="J16" i="113"/>
  <c r="D45" i="16"/>
  <c r="F45"/>
  <c r="G45"/>
  <c r="H45"/>
  <c r="J45"/>
  <c r="C45"/>
  <c r="G25" i="115"/>
  <c r="H25"/>
  <c r="I25"/>
  <c r="J25"/>
  <c r="F26" i="96"/>
  <c r="G26"/>
  <c r="H26"/>
  <c r="I26"/>
  <c r="J26"/>
  <c r="H28" s="1"/>
  <c r="O26"/>
  <c r="P26"/>
  <c r="Q26"/>
  <c r="R26"/>
  <c r="D26"/>
  <c r="E26"/>
  <c r="K26"/>
  <c r="L26"/>
  <c r="M26"/>
  <c r="N26"/>
  <c r="C21"/>
  <c r="C26" s="1"/>
  <c r="U17"/>
  <c r="U18"/>
  <c r="U19"/>
  <c r="U20"/>
  <c r="T17"/>
  <c r="T18"/>
  <c r="T19"/>
  <c r="T20"/>
  <c r="S17"/>
  <c r="V17" s="1"/>
  <c r="S18"/>
  <c r="V18" s="1"/>
  <c r="S19"/>
  <c r="V19" s="1"/>
  <c r="S20"/>
  <c r="V20" s="1"/>
  <c r="U16"/>
  <c r="T16"/>
  <c r="S16"/>
  <c r="M42" i="100" l="1"/>
  <c r="O42" s="1"/>
  <c r="J42"/>
  <c r="H25" i="149"/>
  <c r="N42" i="100"/>
  <c r="P42" s="1"/>
  <c r="P44" s="1"/>
  <c r="H40" i="98"/>
  <c r="K45" i="4"/>
  <c r="L45"/>
  <c r="AF40" i="47"/>
  <c r="Z40"/>
  <c r="AF32"/>
  <c r="Z32"/>
  <c r="AF24"/>
  <c r="Z24"/>
  <c r="AF16"/>
  <c r="Z16"/>
  <c r="Z41"/>
  <c r="AF41"/>
  <c r="Z33"/>
  <c r="AF33"/>
  <c r="AF25"/>
  <c r="Z25"/>
  <c r="Z17"/>
  <c r="AF17"/>
  <c r="G41" i="98"/>
  <c r="H41" s="1"/>
  <c r="U21" i="96"/>
  <c r="U26" s="1"/>
  <c r="J45" i="111"/>
  <c r="K45" s="1"/>
  <c r="Z42" i="47"/>
  <c r="AF42"/>
  <c r="Z34"/>
  <c r="AF34"/>
  <c r="Z26"/>
  <c r="AF26"/>
  <c r="Z18"/>
  <c r="AF18"/>
  <c r="Z35"/>
  <c r="AF35"/>
  <c r="Z27"/>
  <c r="AF27"/>
  <c r="Z19"/>
  <c r="AF19"/>
  <c r="Z11"/>
  <c r="AF11"/>
  <c r="Z36"/>
  <c r="AF36"/>
  <c r="Z28"/>
  <c r="AF28"/>
  <c r="Z20"/>
  <c r="AF20"/>
  <c r="Z12"/>
  <c r="AF12"/>
  <c r="T21" i="96"/>
  <c r="T26" s="1"/>
  <c r="Z37" i="47"/>
  <c r="AF37"/>
  <c r="Z29"/>
  <c r="AF29"/>
  <c r="Z21"/>
  <c r="AF21"/>
  <c r="S21" i="96"/>
  <c r="AF38" i="47"/>
  <c r="Z38"/>
  <c r="AF30"/>
  <c r="Z30"/>
  <c r="AF22"/>
  <c r="Z22"/>
  <c r="AF14"/>
  <c r="Z14"/>
  <c r="AF39"/>
  <c r="Z39"/>
  <c r="AF31"/>
  <c r="Z31"/>
  <c r="AF23"/>
  <c r="Z23"/>
  <c r="AF15"/>
  <c r="Z15"/>
  <c r="V16" i="96"/>
  <c r="S26"/>
  <c r="AF43" i="47"/>
  <c r="Z43"/>
  <c r="L44"/>
  <c r="T13"/>
  <c r="U13" s="1"/>
  <c r="Z13"/>
  <c r="AF13"/>
  <c r="H25" i="148"/>
  <c r="E42" i="14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9"/>
  <c r="K42" i="108"/>
  <c r="N42"/>
  <c r="O42"/>
  <c r="V11"/>
  <c r="V12"/>
  <c r="V13"/>
  <c r="V14"/>
  <c r="V17"/>
  <c r="V18"/>
  <c r="V19"/>
  <c r="V20"/>
  <c r="V21"/>
  <c r="V22"/>
  <c r="V23"/>
  <c r="V24"/>
  <c r="V26"/>
  <c r="V27"/>
  <c r="V29"/>
  <c r="V31"/>
  <c r="V32"/>
  <c r="V33"/>
  <c r="V34"/>
  <c r="V35"/>
  <c r="V37"/>
  <c r="V38"/>
  <c r="V39"/>
  <c r="V40"/>
  <c r="V42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9"/>
  <c r="T11"/>
  <c r="T12"/>
  <c r="T13"/>
  <c r="T14"/>
  <c r="T17"/>
  <c r="T18"/>
  <c r="T19"/>
  <c r="T20"/>
  <c r="T21"/>
  <c r="T22"/>
  <c r="T23"/>
  <c r="T24"/>
  <c r="T26"/>
  <c r="T27"/>
  <c r="T29"/>
  <c r="T31"/>
  <c r="T32"/>
  <c r="T33"/>
  <c r="T34"/>
  <c r="T35"/>
  <c r="T37"/>
  <c r="T38"/>
  <c r="T39"/>
  <c r="T40"/>
  <c r="T42"/>
  <c r="J42"/>
  <c r="R49" s="1"/>
  <c r="S43"/>
  <c r="I42"/>
  <c r="H42"/>
  <c r="U42" s="1"/>
  <c r="U46" s="1"/>
  <c r="P10"/>
  <c r="R10" s="1"/>
  <c r="P11"/>
  <c r="S11" s="1"/>
  <c r="P12"/>
  <c r="S12" s="1"/>
  <c r="P13"/>
  <c r="S13" s="1"/>
  <c r="P14"/>
  <c r="S14" s="1"/>
  <c r="P15"/>
  <c r="S15" s="1"/>
  <c r="P16"/>
  <c r="S16" s="1"/>
  <c r="P17"/>
  <c r="S17" s="1"/>
  <c r="P18"/>
  <c r="S18" s="1"/>
  <c r="P19"/>
  <c r="S19" s="1"/>
  <c r="P20"/>
  <c r="S20" s="1"/>
  <c r="P21"/>
  <c r="S21" s="1"/>
  <c r="P22"/>
  <c r="S22" s="1"/>
  <c r="P23"/>
  <c r="S23" s="1"/>
  <c r="P24"/>
  <c r="S24" s="1"/>
  <c r="P25"/>
  <c r="S25" s="1"/>
  <c r="P26"/>
  <c r="S26" s="1"/>
  <c r="P27"/>
  <c r="S27" s="1"/>
  <c r="P28"/>
  <c r="S28" s="1"/>
  <c r="P29"/>
  <c r="S29" s="1"/>
  <c r="P30"/>
  <c r="S30" s="1"/>
  <c r="P31"/>
  <c r="S31" s="1"/>
  <c r="P32"/>
  <c r="S32" s="1"/>
  <c r="P33"/>
  <c r="S33" s="1"/>
  <c r="P34"/>
  <c r="S34" s="1"/>
  <c r="P35"/>
  <c r="S35" s="1"/>
  <c r="P36"/>
  <c r="R36" s="1"/>
  <c r="P37"/>
  <c r="S37" s="1"/>
  <c r="P38"/>
  <c r="S38" s="1"/>
  <c r="P39"/>
  <c r="S39" s="1"/>
  <c r="P40"/>
  <c r="S40" s="1"/>
  <c r="P41"/>
  <c r="S41" s="1"/>
  <c r="P9"/>
  <c r="R9" s="1"/>
  <c r="F42"/>
  <c r="Q53" s="1"/>
  <c r="G42"/>
  <c r="E42"/>
  <c r="C42"/>
  <c r="D45" i="119"/>
  <c r="E45"/>
  <c r="F45"/>
  <c r="G45"/>
  <c r="H45"/>
  <c r="I45"/>
  <c r="J45"/>
  <c r="K45"/>
  <c r="L45"/>
  <c r="M45"/>
  <c r="C45"/>
  <c r="D44" i="84"/>
  <c r="E44"/>
  <c r="F44"/>
  <c r="G44"/>
  <c r="H44"/>
  <c r="I44"/>
  <c r="C44"/>
  <c r="J12"/>
  <c r="L12" s="1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J28"/>
  <c r="L28" s="1"/>
  <c r="J29"/>
  <c r="L29" s="1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11"/>
  <c r="L11" s="1"/>
  <c r="L44" l="1"/>
  <c r="R25" i="108"/>
  <c r="R30"/>
  <c r="V30" s="1"/>
  <c r="F42" i="141"/>
  <c r="L45" i="111"/>
  <c r="P42" i="108"/>
  <c r="S42" s="1"/>
  <c r="R16"/>
  <c r="R28"/>
  <c r="T28" s="1"/>
  <c r="R41"/>
  <c r="V10"/>
  <c r="T10"/>
  <c r="V9"/>
  <c r="T9"/>
  <c r="V36"/>
  <c r="T36"/>
  <c r="T30"/>
  <c r="S9"/>
  <c r="S36"/>
  <c r="S10"/>
  <c r="R15"/>
  <c r="P25" i="148"/>
  <c r="J44" i="84"/>
  <c r="V21" i="96"/>
  <c r="V26" s="1"/>
  <c r="E45" i="66"/>
  <c r="F45"/>
  <c r="C45"/>
  <c r="D45" s="1"/>
  <c r="K14" i="86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13"/>
  <c r="N14"/>
  <c r="Q14" s="1"/>
  <c r="R14" s="1"/>
  <c r="N15"/>
  <c r="O15" s="1"/>
  <c r="N16"/>
  <c r="Q16" s="1"/>
  <c r="R16" s="1"/>
  <c r="N17"/>
  <c r="O17" s="1"/>
  <c r="N18"/>
  <c r="Q18" s="1"/>
  <c r="R18" s="1"/>
  <c r="N19"/>
  <c r="O19" s="1"/>
  <c r="N20"/>
  <c r="Q20" s="1"/>
  <c r="R20" s="1"/>
  <c r="N21"/>
  <c r="O21" s="1"/>
  <c r="N22"/>
  <c r="Q22" s="1"/>
  <c r="R22" s="1"/>
  <c r="N23"/>
  <c r="O23" s="1"/>
  <c r="N24"/>
  <c r="Q24" s="1"/>
  <c r="R24" s="1"/>
  <c r="N25"/>
  <c r="O25" s="1"/>
  <c r="N26"/>
  <c r="Q26" s="1"/>
  <c r="R26" s="1"/>
  <c r="N27"/>
  <c r="O27" s="1"/>
  <c r="N28"/>
  <c r="Q28" s="1"/>
  <c r="R28" s="1"/>
  <c r="N29"/>
  <c r="O29" s="1"/>
  <c r="N30"/>
  <c r="Q30" s="1"/>
  <c r="R30" s="1"/>
  <c r="N31"/>
  <c r="O31" s="1"/>
  <c r="N32"/>
  <c r="Q32" s="1"/>
  <c r="R32" s="1"/>
  <c r="N33"/>
  <c r="O33" s="1"/>
  <c r="N34"/>
  <c r="Q34" s="1"/>
  <c r="R34" s="1"/>
  <c r="N35"/>
  <c r="O35" s="1"/>
  <c r="N36"/>
  <c r="Q36" s="1"/>
  <c r="R36" s="1"/>
  <c r="N37"/>
  <c r="O37" s="1"/>
  <c r="N38"/>
  <c r="Q38" s="1"/>
  <c r="R38" s="1"/>
  <c r="N39"/>
  <c r="O39" s="1"/>
  <c r="N40"/>
  <c r="Q40" s="1"/>
  <c r="R40" s="1"/>
  <c r="N41"/>
  <c r="O41" s="1"/>
  <c r="N42"/>
  <c r="Q42" s="1"/>
  <c r="R42" s="1"/>
  <c r="N43"/>
  <c r="O43" s="1"/>
  <c r="N44"/>
  <c r="Q44" s="1"/>
  <c r="R44" s="1"/>
  <c r="N45"/>
  <c r="O45" s="1"/>
  <c r="N13"/>
  <c r="Q13" s="1"/>
  <c r="R13" s="1"/>
  <c r="D42" i="141"/>
  <c r="C42"/>
  <c r="D44" i="59"/>
  <c r="E44"/>
  <c r="F44"/>
  <c r="G44"/>
  <c r="H44"/>
  <c r="I44"/>
  <c r="J44"/>
  <c r="K44"/>
  <c r="L44"/>
  <c r="C44"/>
  <c r="L12" i="56"/>
  <c r="L11"/>
  <c r="D13"/>
  <c r="F13"/>
  <c r="H13"/>
  <c r="J13"/>
  <c r="B13"/>
  <c r="V28" i="108" l="1"/>
  <c r="H47" i="66"/>
  <c r="V25" i="108"/>
  <c r="T25"/>
  <c r="Q39" i="86"/>
  <c r="R39" s="1"/>
  <c r="Q25"/>
  <c r="R25" s="1"/>
  <c r="Q17"/>
  <c r="R17" s="1"/>
  <c r="V41" i="108"/>
  <c r="T41"/>
  <c r="T16"/>
  <c r="V16"/>
  <c r="L13" i="56"/>
  <c r="Q41" i="86"/>
  <c r="R41" s="1"/>
  <c r="Q33"/>
  <c r="R33" s="1"/>
  <c r="Q23"/>
  <c r="R23" s="1"/>
  <c r="V15" i="108"/>
  <c r="T15"/>
  <c r="Q43" i="86"/>
  <c r="R43" s="1"/>
  <c r="S43" s="1"/>
  <c r="Q27"/>
  <c r="R27" s="1"/>
  <c r="S27" s="1"/>
  <c r="Q45"/>
  <c r="R45" s="1"/>
  <c r="S45" s="1"/>
  <c r="Q29"/>
  <c r="R29" s="1"/>
  <c r="S29" s="1"/>
  <c r="Q31"/>
  <c r="R31" s="1"/>
  <c r="S31" s="1"/>
  <c r="Q15"/>
  <c r="R15" s="1"/>
  <c r="S39"/>
  <c r="S23"/>
  <c r="Q35"/>
  <c r="R35" s="1"/>
  <c r="S35" s="1"/>
  <c r="Q19"/>
  <c r="R19" s="1"/>
  <c r="S19" s="1"/>
  <c r="R43" i="108"/>
  <c r="S15" i="86"/>
  <c r="S41"/>
  <c r="S33"/>
  <c r="S25"/>
  <c r="S17"/>
  <c r="Q37"/>
  <c r="R37" s="1"/>
  <c r="S37" s="1"/>
  <c r="Q21"/>
  <c r="R21" s="1"/>
  <c r="S21" s="1"/>
  <c r="O13"/>
  <c r="S13" s="1"/>
  <c r="O44"/>
  <c r="S44" s="1"/>
  <c r="O42"/>
  <c r="S42" s="1"/>
  <c r="O40"/>
  <c r="S40" s="1"/>
  <c r="O38"/>
  <c r="S38" s="1"/>
  <c r="O36"/>
  <c r="S36" s="1"/>
  <c r="O34"/>
  <c r="S34" s="1"/>
  <c r="O32"/>
  <c r="S32" s="1"/>
  <c r="O30"/>
  <c r="S30" s="1"/>
  <c r="O28"/>
  <c r="S28" s="1"/>
  <c r="O26"/>
  <c r="S26" s="1"/>
  <c r="O24"/>
  <c r="S24" s="1"/>
  <c r="O22"/>
  <c r="S22" s="1"/>
  <c r="O20"/>
  <c r="S20" s="1"/>
  <c r="O18"/>
  <c r="S18" s="1"/>
  <c r="O16"/>
  <c r="S16" s="1"/>
  <c r="O14"/>
  <c r="S14" s="1"/>
  <c r="S46" l="1"/>
  <c r="D44" i="65" l="1"/>
  <c r="E44"/>
  <c r="F44"/>
  <c r="G44"/>
  <c r="H44"/>
  <c r="I44"/>
  <c r="J44"/>
  <c r="L44"/>
  <c r="C44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11"/>
  <c r="C42" i="124"/>
  <c r="D11" i="103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10"/>
  <c r="G43"/>
  <c r="G43" i="135"/>
  <c r="F43"/>
  <c r="E43"/>
  <c r="D9"/>
  <c r="D43" s="1"/>
  <c r="D46" i="138"/>
  <c r="E46"/>
  <c r="C46"/>
  <c r="K44" i="65" l="1"/>
  <c r="I12" i="147"/>
  <c r="Q12" s="1"/>
  <c r="R12" s="1"/>
  <c r="I13"/>
  <c r="I14"/>
  <c r="I15"/>
  <c r="I16"/>
  <c r="Q16" s="1"/>
  <c r="R16" s="1"/>
  <c r="I17"/>
  <c r="I18"/>
  <c r="I19"/>
  <c r="I11"/>
  <c r="Q13"/>
  <c r="R13" s="1"/>
  <c r="Q17"/>
  <c r="R17" s="1"/>
  <c r="E11"/>
  <c r="Q11" s="1"/>
  <c r="R11" s="1"/>
  <c r="I12" i="146"/>
  <c r="K12" s="1"/>
  <c r="I13"/>
  <c r="K13" s="1"/>
  <c r="I14"/>
  <c r="K14" s="1"/>
  <c r="I15"/>
  <c r="K15" s="1"/>
  <c r="I16"/>
  <c r="K16" s="1"/>
  <c r="I17"/>
  <c r="K17" s="1"/>
  <c r="I18"/>
  <c r="K18" s="1"/>
  <c r="I19"/>
  <c r="K19" s="1"/>
  <c r="I11"/>
  <c r="E12"/>
  <c r="Q12" s="1"/>
  <c r="R12" s="1"/>
  <c r="E13"/>
  <c r="E14"/>
  <c r="Q14" s="1"/>
  <c r="R14" s="1"/>
  <c r="E15"/>
  <c r="E16"/>
  <c r="Q16" s="1"/>
  <c r="R16" s="1"/>
  <c r="E17"/>
  <c r="E18"/>
  <c r="Q18" s="1"/>
  <c r="R18" s="1"/>
  <c r="E19"/>
  <c r="E11"/>
  <c r="Q11" s="1"/>
  <c r="R11" s="1"/>
  <c r="M12" i="144"/>
  <c r="U12" s="1"/>
  <c r="V12" s="1"/>
  <c r="M13"/>
  <c r="U13" s="1"/>
  <c r="V13" s="1"/>
  <c r="M14"/>
  <c r="U14" s="1"/>
  <c r="V14" s="1"/>
  <c r="M15"/>
  <c r="U15" s="1"/>
  <c r="V15" s="1"/>
  <c r="M16"/>
  <c r="U16" s="1"/>
  <c r="V16" s="1"/>
  <c r="M17"/>
  <c r="U17" s="1"/>
  <c r="V17" s="1"/>
  <c r="M18"/>
  <c r="U18" s="1"/>
  <c r="V18" s="1"/>
  <c r="M19"/>
  <c r="U19" s="1"/>
  <c r="V19" s="1"/>
  <c r="M20"/>
  <c r="U20" s="1"/>
  <c r="V20" s="1"/>
  <c r="M21"/>
  <c r="U21" s="1"/>
  <c r="V21" s="1"/>
  <c r="M22"/>
  <c r="U22" s="1"/>
  <c r="V22" s="1"/>
  <c r="M23"/>
  <c r="U23" s="1"/>
  <c r="V23" s="1"/>
  <c r="M24"/>
  <c r="U24" s="1"/>
  <c r="V24" s="1"/>
  <c r="M25"/>
  <c r="U25" s="1"/>
  <c r="V25" s="1"/>
  <c r="M26"/>
  <c r="U26" s="1"/>
  <c r="V26" s="1"/>
  <c r="M27"/>
  <c r="U27" s="1"/>
  <c r="V27" s="1"/>
  <c r="M28"/>
  <c r="U28" s="1"/>
  <c r="V28" s="1"/>
  <c r="M29"/>
  <c r="U29" s="1"/>
  <c r="V29" s="1"/>
  <c r="M30"/>
  <c r="U30" s="1"/>
  <c r="V30" s="1"/>
  <c r="M31"/>
  <c r="U31" s="1"/>
  <c r="V31" s="1"/>
  <c r="M32"/>
  <c r="U32" s="1"/>
  <c r="V32" s="1"/>
  <c r="M33"/>
  <c r="U33" s="1"/>
  <c r="V33" s="1"/>
  <c r="M34"/>
  <c r="U34" s="1"/>
  <c r="V34" s="1"/>
  <c r="M35"/>
  <c r="U35" s="1"/>
  <c r="V35" s="1"/>
  <c r="M36"/>
  <c r="U36" s="1"/>
  <c r="V36" s="1"/>
  <c r="M37"/>
  <c r="U37" s="1"/>
  <c r="V37" s="1"/>
  <c r="M38"/>
  <c r="U38" s="1"/>
  <c r="V38" s="1"/>
  <c r="M39"/>
  <c r="U39" s="1"/>
  <c r="V39" s="1"/>
  <c r="M40"/>
  <c r="U40" s="1"/>
  <c r="V40" s="1"/>
  <c r="M41"/>
  <c r="U41" s="1"/>
  <c r="V41" s="1"/>
  <c r="M42"/>
  <c r="U42" s="1"/>
  <c r="V42" s="1"/>
  <c r="M43"/>
  <c r="U43" s="1"/>
  <c r="V43" s="1"/>
  <c r="M11"/>
  <c r="U11" s="1"/>
  <c r="V11" s="1"/>
  <c r="C47" i="88"/>
  <c r="C46" i="114"/>
  <c r="Z14" i="75"/>
  <c r="AA14" s="1"/>
  <c r="Z15"/>
  <c r="AA15" s="1"/>
  <c r="Z16"/>
  <c r="AA16" s="1"/>
  <c r="Z17"/>
  <c r="AA17" s="1"/>
  <c r="Z18"/>
  <c r="AA18" s="1"/>
  <c r="Z19"/>
  <c r="AA19" s="1"/>
  <c r="Z20"/>
  <c r="AA20" s="1"/>
  <c r="Z21"/>
  <c r="AA21" s="1"/>
  <c r="Z22"/>
  <c r="AA22" s="1"/>
  <c r="Z23"/>
  <c r="AA23" s="1"/>
  <c r="Z24"/>
  <c r="AA24" s="1"/>
  <c r="Z25"/>
  <c r="AA25" s="1"/>
  <c r="Z26"/>
  <c r="AA26" s="1"/>
  <c r="Z27"/>
  <c r="AA27" s="1"/>
  <c r="Z28"/>
  <c r="AA28" s="1"/>
  <c r="Z29"/>
  <c r="AA29" s="1"/>
  <c r="Z30"/>
  <c r="AA30" s="1"/>
  <c r="Z31"/>
  <c r="AA31" s="1"/>
  <c r="Z32"/>
  <c r="AA32" s="1"/>
  <c r="Z33"/>
  <c r="AA33" s="1"/>
  <c r="Z34"/>
  <c r="AA34" s="1"/>
  <c r="Z35"/>
  <c r="AA35" s="1"/>
  <c r="Z36"/>
  <c r="AA36" s="1"/>
  <c r="Z37"/>
  <c r="AA37" s="1"/>
  <c r="Z38"/>
  <c r="AA38" s="1"/>
  <c r="Z39"/>
  <c r="AA39" s="1"/>
  <c r="Z40"/>
  <c r="AA40" s="1"/>
  <c r="Z41"/>
  <c r="AA41" s="1"/>
  <c r="Z42"/>
  <c r="AA42" s="1"/>
  <c r="Z43"/>
  <c r="AA43" s="1"/>
  <c r="Z44"/>
  <c r="AA44" s="1"/>
  <c r="Z45"/>
  <c r="AA45" s="1"/>
  <c r="Z46"/>
  <c r="AA46" s="1"/>
  <c r="Z13"/>
  <c r="AA13" s="1"/>
  <c r="AM13" i="111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12"/>
  <c r="AH15" i="7"/>
  <c r="AI15" s="1"/>
  <c r="AH16"/>
  <c r="AI16" s="1"/>
  <c r="AH17"/>
  <c r="AI17" s="1"/>
  <c r="AH18"/>
  <c r="AI18" s="1"/>
  <c r="AH19"/>
  <c r="AI19" s="1"/>
  <c r="AH20"/>
  <c r="AI20" s="1"/>
  <c r="AH21"/>
  <c r="AI21" s="1"/>
  <c r="AH22"/>
  <c r="AI22" s="1"/>
  <c r="AH23"/>
  <c r="AI23" s="1"/>
  <c r="AH24"/>
  <c r="AI24" s="1"/>
  <c r="AH25"/>
  <c r="AI25" s="1"/>
  <c r="AH26"/>
  <c r="AI26" s="1"/>
  <c r="AH27"/>
  <c r="AI27" s="1"/>
  <c r="AH28"/>
  <c r="AI28" s="1"/>
  <c r="AH29"/>
  <c r="AI29" s="1"/>
  <c r="AH30"/>
  <c r="AI30" s="1"/>
  <c r="AH31"/>
  <c r="AI31" s="1"/>
  <c r="AH32"/>
  <c r="AI32" s="1"/>
  <c r="AH33"/>
  <c r="AI33" s="1"/>
  <c r="AH34"/>
  <c r="AI34" s="1"/>
  <c r="AH35"/>
  <c r="AI35" s="1"/>
  <c r="AH36"/>
  <c r="AI36" s="1"/>
  <c r="AH37"/>
  <c r="AI37" s="1"/>
  <c r="AH38"/>
  <c r="AI38" s="1"/>
  <c r="AH39"/>
  <c r="AI39" s="1"/>
  <c r="AH40"/>
  <c r="AI40" s="1"/>
  <c r="AH41"/>
  <c r="AI41" s="1"/>
  <c r="AH42"/>
  <c r="AI42" s="1"/>
  <c r="AH43"/>
  <c r="AI43" s="1"/>
  <c r="AH44"/>
  <c r="AI44" s="1"/>
  <c r="AH45"/>
  <c r="AI45" s="1"/>
  <c r="AH46"/>
  <c r="AI46" s="1"/>
  <c r="AH14"/>
  <c r="AI14" s="1"/>
  <c r="AG47"/>
  <c r="AH47" s="1"/>
  <c r="F45" i="74"/>
  <c r="H45"/>
  <c r="I45"/>
  <c r="J45"/>
  <c r="K45"/>
  <c r="C45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2"/>
  <c r="U13"/>
  <c r="U14"/>
  <c r="U15"/>
  <c r="U16"/>
  <c r="U17"/>
  <c r="U18"/>
  <c r="U19"/>
  <c r="U20"/>
  <c r="U21"/>
  <c r="U22"/>
  <c r="U23"/>
  <c r="U24"/>
  <c r="U25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12"/>
  <c r="W13"/>
  <c r="Y13" s="1"/>
  <c r="W14"/>
  <c r="Y14" s="1"/>
  <c r="W15"/>
  <c r="Y15" s="1"/>
  <c r="W16"/>
  <c r="Y16" s="1"/>
  <c r="W17"/>
  <c r="Y17" s="1"/>
  <c r="W18"/>
  <c r="Y18" s="1"/>
  <c r="W19"/>
  <c r="Y19" s="1"/>
  <c r="W20"/>
  <c r="Y20" s="1"/>
  <c r="W21"/>
  <c r="Y21" s="1"/>
  <c r="W22"/>
  <c r="Y22" s="1"/>
  <c r="W23"/>
  <c r="Y23" s="1"/>
  <c r="W24"/>
  <c r="Y24" s="1"/>
  <c r="W25"/>
  <c r="Y25" s="1"/>
  <c r="W26"/>
  <c r="Y26" s="1"/>
  <c r="W27"/>
  <c r="Y27" s="1"/>
  <c r="W28"/>
  <c r="Y28" s="1"/>
  <c r="W29"/>
  <c r="Y29" s="1"/>
  <c r="W30"/>
  <c r="Y30" s="1"/>
  <c r="W31"/>
  <c r="Y31" s="1"/>
  <c r="W32"/>
  <c r="Y32" s="1"/>
  <c r="W33"/>
  <c r="Y33" s="1"/>
  <c r="W34"/>
  <c r="Y34" s="1"/>
  <c r="W35"/>
  <c r="Y35" s="1"/>
  <c r="W36"/>
  <c r="Y36" s="1"/>
  <c r="W37"/>
  <c r="Y37" s="1"/>
  <c r="W38"/>
  <c r="Y38" s="1"/>
  <c r="W39"/>
  <c r="Y39" s="1"/>
  <c r="W40"/>
  <c r="Y40" s="1"/>
  <c r="W41"/>
  <c r="Y41" s="1"/>
  <c r="W42"/>
  <c r="Y42" s="1"/>
  <c r="W43"/>
  <c r="Y43" s="1"/>
  <c r="W44"/>
  <c r="Y44" s="1"/>
  <c r="W12"/>
  <c r="Y12" s="1"/>
  <c r="P45"/>
  <c r="AL13" i="111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12"/>
  <c r="D45" i="5"/>
  <c r="E45"/>
  <c r="F45"/>
  <c r="H45"/>
  <c r="I45"/>
  <c r="J45"/>
  <c r="K45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2"/>
  <c r="C45"/>
  <c r="AP12" i="47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6"/>
  <c r="AP11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6"/>
  <c r="AN13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11"/>
  <c r="AQ46"/>
  <c r="AO44"/>
  <c r="AO45" s="1"/>
  <c r="AP45" s="1"/>
  <c r="AM44"/>
  <c r="AM45" s="1"/>
  <c r="AN45" s="1"/>
  <c r="AK44"/>
  <c r="AK45" s="1"/>
  <c r="AQ12" i="60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6"/>
  <c r="AQ11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6"/>
  <c r="AO13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11"/>
  <c r="AS46"/>
  <c r="AN44"/>
  <c r="AN45" s="1"/>
  <c r="AO45" s="1"/>
  <c r="AP44"/>
  <c r="AP45" s="1"/>
  <c r="AQ45" s="1"/>
  <c r="AL44"/>
  <c r="AL45" s="1"/>
  <c r="AO13" i="111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2"/>
  <c r="AO34"/>
  <c r="AO36"/>
  <c r="AO38"/>
  <c r="AO40"/>
  <c r="AO42"/>
  <c r="AO44"/>
  <c r="AO12"/>
  <c r="AP45"/>
  <c r="AQ13"/>
  <c r="AR13" s="1"/>
  <c r="AS13" s="1"/>
  <c r="AQ14"/>
  <c r="AR14" s="1"/>
  <c r="AS14" s="1"/>
  <c r="AQ15"/>
  <c r="AR15" s="1"/>
  <c r="AS15" s="1"/>
  <c r="AQ16"/>
  <c r="AR16" s="1"/>
  <c r="AS16" s="1"/>
  <c r="AQ17"/>
  <c r="AR17" s="1"/>
  <c r="AS17" s="1"/>
  <c r="AQ18"/>
  <c r="AR18" s="1"/>
  <c r="AS18" s="1"/>
  <c r="AQ19"/>
  <c r="AR19" s="1"/>
  <c r="AS19" s="1"/>
  <c r="AQ20"/>
  <c r="AR20" s="1"/>
  <c r="AS20" s="1"/>
  <c r="AQ21"/>
  <c r="AR21" s="1"/>
  <c r="AS21" s="1"/>
  <c r="AQ22"/>
  <c r="AR22" s="1"/>
  <c r="AS22" s="1"/>
  <c r="AQ23"/>
  <c r="AR23" s="1"/>
  <c r="AS23" s="1"/>
  <c r="AQ24"/>
  <c r="AR24" s="1"/>
  <c r="AS24" s="1"/>
  <c r="AQ25"/>
  <c r="AR25" s="1"/>
  <c r="AS25" s="1"/>
  <c r="AQ26"/>
  <c r="AR26" s="1"/>
  <c r="AS26" s="1"/>
  <c r="AQ27"/>
  <c r="AR27" s="1"/>
  <c r="AS27" s="1"/>
  <c r="AQ28"/>
  <c r="AR28" s="1"/>
  <c r="AS28" s="1"/>
  <c r="AQ29"/>
  <c r="AR29" s="1"/>
  <c r="AS29" s="1"/>
  <c r="AQ30"/>
  <c r="AR30" s="1"/>
  <c r="AS30" s="1"/>
  <c r="AQ31"/>
  <c r="AR31" s="1"/>
  <c r="AS31" s="1"/>
  <c r="AQ32"/>
  <c r="AR32" s="1"/>
  <c r="AS32" s="1"/>
  <c r="AQ33"/>
  <c r="AR33" s="1"/>
  <c r="AS33" s="1"/>
  <c r="AQ34"/>
  <c r="AR34" s="1"/>
  <c r="AS34" s="1"/>
  <c r="AQ35"/>
  <c r="AR35" s="1"/>
  <c r="AS35" s="1"/>
  <c r="AQ36"/>
  <c r="AR36" s="1"/>
  <c r="AS36" s="1"/>
  <c r="AQ37"/>
  <c r="AR37" s="1"/>
  <c r="AS37" s="1"/>
  <c r="AQ38"/>
  <c r="AR38" s="1"/>
  <c r="AS38" s="1"/>
  <c r="AQ39"/>
  <c r="AR39" s="1"/>
  <c r="AS39" s="1"/>
  <c r="AQ40"/>
  <c r="AR40" s="1"/>
  <c r="AS40" s="1"/>
  <c r="AQ41"/>
  <c r="AR41" s="1"/>
  <c r="AS41" s="1"/>
  <c r="AQ42"/>
  <c r="AR42" s="1"/>
  <c r="AS42" s="1"/>
  <c r="AQ43"/>
  <c r="AR43" s="1"/>
  <c r="AS43" s="1"/>
  <c r="AQ44"/>
  <c r="AR44" s="1"/>
  <c r="AS44" s="1"/>
  <c r="AQ12"/>
  <c r="AR12" s="1"/>
  <c r="AS12" s="1"/>
  <c r="AT45"/>
  <c r="AH13" i="4"/>
  <c r="AI13" s="1"/>
  <c r="AH14"/>
  <c r="AI14" s="1"/>
  <c r="AH15"/>
  <c r="AI15" s="1"/>
  <c r="AH16"/>
  <c r="AI16" s="1"/>
  <c r="AH17"/>
  <c r="AI17" s="1"/>
  <c r="AH18"/>
  <c r="AI18" s="1"/>
  <c r="AH19"/>
  <c r="AI19" s="1"/>
  <c r="AH20"/>
  <c r="AI20" s="1"/>
  <c r="AH21"/>
  <c r="AI21" s="1"/>
  <c r="AH22"/>
  <c r="AI22" s="1"/>
  <c r="AH23"/>
  <c r="AI23" s="1"/>
  <c r="AH24"/>
  <c r="AI24" s="1"/>
  <c r="AH25"/>
  <c r="AI25" s="1"/>
  <c r="AH26"/>
  <c r="AI26" s="1"/>
  <c r="AH27"/>
  <c r="AI27" s="1"/>
  <c r="AH28"/>
  <c r="AI28" s="1"/>
  <c r="AH29"/>
  <c r="AI29" s="1"/>
  <c r="AH30"/>
  <c r="AI30" s="1"/>
  <c r="AH31"/>
  <c r="AI31" s="1"/>
  <c r="AH32"/>
  <c r="AI32" s="1"/>
  <c r="AH33"/>
  <c r="AI33" s="1"/>
  <c r="AH34"/>
  <c r="AI34" s="1"/>
  <c r="AH35"/>
  <c r="AI35" s="1"/>
  <c r="AH36"/>
  <c r="AI36" s="1"/>
  <c r="AH37"/>
  <c r="AI37" s="1"/>
  <c r="AH38"/>
  <c r="AI38" s="1"/>
  <c r="AH39"/>
  <c r="AI39" s="1"/>
  <c r="AH40"/>
  <c r="AI40" s="1"/>
  <c r="AH41"/>
  <c r="AI41" s="1"/>
  <c r="AH42"/>
  <c r="AI42" s="1"/>
  <c r="AH43"/>
  <c r="AI43" s="1"/>
  <c r="AH44"/>
  <c r="AI44" s="1"/>
  <c r="AH45"/>
  <c r="AI45" s="1"/>
  <c r="AH12"/>
  <c r="AI12" s="1"/>
  <c r="C56" i="114" l="1"/>
  <c r="C59" s="1"/>
  <c r="Q19" i="146"/>
  <c r="R19" s="1"/>
  <c r="Q15"/>
  <c r="R15" s="1"/>
  <c r="AO44" i="60"/>
  <c r="AL44" i="47"/>
  <c r="AL45" s="1"/>
  <c r="S18" i="147"/>
  <c r="T18" s="1"/>
  <c r="U18" s="1"/>
  <c r="Q18"/>
  <c r="R18" s="1"/>
  <c r="S14"/>
  <c r="T14" s="1"/>
  <c r="U14" s="1"/>
  <c r="Q14"/>
  <c r="R14" s="1"/>
  <c r="S19"/>
  <c r="T19" s="1"/>
  <c r="U19" s="1"/>
  <c r="Q19"/>
  <c r="R19" s="1"/>
  <c r="S15"/>
  <c r="T15" s="1"/>
  <c r="U15" s="1"/>
  <c r="Q15"/>
  <c r="R15" s="1"/>
  <c r="S17" i="146"/>
  <c r="T17" s="1"/>
  <c r="U17" s="1"/>
  <c r="Q17"/>
  <c r="R17" s="1"/>
  <c r="S13"/>
  <c r="T13" s="1"/>
  <c r="U13" s="1"/>
  <c r="Q13"/>
  <c r="R13" s="1"/>
  <c r="S16"/>
  <c r="T16" s="1"/>
  <c r="U16" s="1"/>
  <c r="S12"/>
  <c r="T12" s="1"/>
  <c r="U12" s="1"/>
  <c r="S11"/>
  <c r="T11" s="1"/>
  <c r="U11" s="1"/>
  <c r="E20"/>
  <c r="S14"/>
  <c r="T14" s="1"/>
  <c r="U14" s="1"/>
  <c r="S16" i="147"/>
  <c r="T16" s="1"/>
  <c r="U16" s="1"/>
  <c r="O11" i="144"/>
  <c r="M44"/>
  <c r="S15" i="146"/>
  <c r="T15" s="1"/>
  <c r="U15" s="1"/>
  <c r="S17" i="147"/>
  <c r="T17" s="1"/>
  <c r="U17" s="1"/>
  <c r="AI47" i="7"/>
  <c r="AP44" i="47"/>
  <c r="L45" i="74"/>
  <c r="I20" i="147"/>
  <c r="S45" i="74"/>
  <c r="R45"/>
  <c r="S11" i="147"/>
  <c r="T11" s="1"/>
  <c r="U11" s="1"/>
  <c r="S18" i="146"/>
  <c r="T18" s="1"/>
  <c r="U18" s="1"/>
  <c r="S12" i="147"/>
  <c r="T12" s="1"/>
  <c r="U12" s="1"/>
  <c r="AQ44" i="60"/>
  <c r="S19" i="146"/>
  <c r="T19" s="1"/>
  <c r="U19" s="1"/>
  <c r="I20"/>
  <c r="S13" i="147"/>
  <c r="T13" s="1"/>
  <c r="U13" s="1"/>
  <c r="X15" i="98"/>
  <c r="F11" i="147"/>
  <c r="K11"/>
  <c r="J19"/>
  <c r="J17"/>
  <c r="J15"/>
  <c r="J13"/>
  <c r="K19"/>
  <c r="K17"/>
  <c r="K15"/>
  <c r="K13"/>
  <c r="J11"/>
  <c r="J18"/>
  <c r="J16"/>
  <c r="J14"/>
  <c r="J12"/>
  <c r="K18"/>
  <c r="K16"/>
  <c r="K14"/>
  <c r="K12"/>
  <c r="Y11" i="146"/>
  <c r="K11"/>
  <c r="K20" s="1"/>
  <c r="N42" i="144"/>
  <c r="N40"/>
  <c r="N38"/>
  <c r="N36"/>
  <c r="N34"/>
  <c r="N32"/>
  <c r="N30"/>
  <c r="N28"/>
  <c r="N26"/>
  <c r="N24"/>
  <c r="N22"/>
  <c r="N20"/>
  <c r="N18"/>
  <c r="N16"/>
  <c r="N14"/>
  <c r="N12"/>
  <c r="O42"/>
  <c r="O40"/>
  <c r="O38"/>
  <c r="O36"/>
  <c r="O34"/>
  <c r="O32"/>
  <c r="O30"/>
  <c r="O28"/>
  <c r="O26"/>
  <c r="O24"/>
  <c r="O22"/>
  <c r="O20"/>
  <c r="O18"/>
  <c r="O16"/>
  <c r="O14"/>
  <c r="O12"/>
  <c r="N43"/>
  <c r="N41"/>
  <c r="N39"/>
  <c r="N37"/>
  <c r="N35"/>
  <c r="N33"/>
  <c r="N31"/>
  <c r="N29"/>
  <c r="N27"/>
  <c r="N25"/>
  <c r="N23"/>
  <c r="N21"/>
  <c r="N19"/>
  <c r="N17"/>
  <c r="N15"/>
  <c r="N13"/>
  <c r="O43"/>
  <c r="O41"/>
  <c r="O39"/>
  <c r="O37"/>
  <c r="O35"/>
  <c r="O33"/>
  <c r="O31"/>
  <c r="O29"/>
  <c r="O27"/>
  <c r="O25"/>
  <c r="O23"/>
  <c r="O21"/>
  <c r="O19"/>
  <c r="O17"/>
  <c r="O15"/>
  <c r="O13"/>
  <c r="N11"/>
  <c r="N42" i="29"/>
  <c r="N40"/>
  <c r="N38"/>
  <c r="N36"/>
  <c r="N34"/>
  <c r="N32"/>
  <c r="N30"/>
  <c r="N28"/>
  <c r="N26"/>
  <c r="N24"/>
  <c r="N22"/>
  <c r="N20"/>
  <c r="N18"/>
  <c r="N16"/>
  <c r="N14"/>
  <c r="N12"/>
  <c r="O42"/>
  <c r="O40"/>
  <c r="O38"/>
  <c r="O36"/>
  <c r="O34"/>
  <c r="O32"/>
  <c r="O30"/>
  <c r="O28"/>
  <c r="O26"/>
  <c r="O24"/>
  <c r="O22"/>
  <c r="O20"/>
  <c r="O18"/>
  <c r="O16"/>
  <c r="O14"/>
  <c r="O12"/>
  <c r="N43"/>
  <c r="N41"/>
  <c r="N39"/>
  <c r="N37"/>
  <c r="N35"/>
  <c r="N33"/>
  <c r="N31"/>
  <c r="N29"/>
  <c r="N27"/>
  <c r="N25"/>
  <c r="N23"/>
  <c r="N21"/>
  <c r="N19"/>
  <c r="N17"/>
  <c r="N15"/>
  <c r="N13"/>
  <c r="O43"/>
  <c r="O41"/>
  <c r="O39"/>
  <c r="O37"/>
  <c r="O35"/>
  <c r="O33"/>
  <c r="O31"/>
  <c r="O29"/>
  <c r="O27"/>
  <c r="O25"/>
  <c r="O23"/>
  <c r="O21"/>
  <c r="O19"/>
  <c r="O17"/>
  <c r="O15"/>
  <c r="O13"/>
  <c r="G45" i="74"/>
  <c r="Z45"/>
  <c r="AO43" i="111"/>
  <c r="AO41"/>
  <c r="AO39"/>
  <c r="AO37"/>
  <c r="AO35"/>
  <c r="AO33"/>
  <c r="AO31"/>
  <c r="L45" i="5"/>
  <c r="G45"/>
  <c r="Y19" i="146"/>
  <c r="Z19" s="1"/>
  <c r="Y17"/>
  <c r="Z17" s="1"/>
  <c r="Y15"/>
  <c r="Z15" s="1"/>
  <c r="Y14"/>
  <c r="Z14" s="1"/>
  <c r="Y12"/>
  <c r="Z12" s="1"/>
  <c r="F19"/>
  <c r="G19" s="1"/>
  <c r="F17"/>
  <c r="G17" s="1"/>
  <c r="F15"/>
  <c r="G15" s="1"/>
  <c r="F14"/>
  <c r="G14" s="1"/>
  <c r="F12"/>
  <c r="G12" s="1"/>
  <c r="J19"/>
  <c r="L19" s="1"/>
  <c r="J17"/>
  <c r="L17" s="1"/>
  <c r="J15"/>
  <c r="L15" s="1"/>
  <c r="J14"/>
  <c r="L14" s="1"/>
  <c r="J12"/>
  <c r="L12" s="1"/>
  <c r="Y18"/>
  <c r="Z18" s="1"/>
  <c r="Y16"/>
  <c r="Z16" s="1"/>
  <c r="Y13"/>
  <c r="Z13" s="1"/>
  <c r="F11"/>
  <c r="F18"/>
  <c r="G18" s="1"/>
  <c r="F16"/>
  <c r="G16" s="1"/>
  <c r="F13"/>
  <c r="G13" s="1"/>
  <c r="J11"/>
  <c r="J18"/>
  <c r="L18" s="1"/>
  <c r="J16"/>
  <c r="L16" s="1"/>
  <c r="J13"/>
  <c r="L13" s="1"/>
  <c r="W45" i="74"/>
  <c r="Y45" s="1"/>
  <c r="AN44" i="47"/>
  <c r="AQ44"/>
  <c r="AQ45" s="1"/>
  <c r="AR45" i="111"/>
  <c r="AS45" s="1"/>
  <c r="E59" i="114" l="1"/>
  <c r="G59" s="1"/>
  <c r="L59" s="1"/>
  <c r="Z22" i="98"/>
  <c r="Z24" s="1"/>
  <c r="AC24"/>
  <c r="AD24" s="1"/>
  <c r="Z11" i="146"/>
  <c r="Y20"/>
  <c r="Q22"/>
  <c r="G62" i="65"/>
  <c r="Y31" i="98"/>
  <c r="U44" i="144"/>
  <c r="V44" s="1"/>
  <c r="U46"/>
  <c r="S20" i="147"/>
  <c r="T20" s="1"/>
  <c r="U20" s="1"/>
  <c r="Q20"/>
  <c r="R20" s="1"/>
  <c r="Q20" i="146"/>
  <c r="R20" s="1"/>
  <c r="L18" i="147"/>
  <c r="L15"/>
  <c r="L16"/>
  <c r="J20"/>
  <c r="L13"/>
  <c r="L17"/>
  <c r="F20" i="146"/>
  <c r="F37" s="1"/>
  <c r="L14" i="147"/>
  <c r="G11"/>
  <c r="O44" i="144"/>
  <c r="P11"/>
  <c r="N44"/>
  <c r="L12" i="147"/>
  <c r="J20" i="146"/>
  <c r="K20" i="147"/>
  <c r="L19"/>
  <c r="L11"/>
  <c r="L11" i="146"/>
  <c r="L20" s="1"/>
  <c r="G11"/>
  <c r="G20" s="1"/>
  <c r="G37" s="1"/>
  <c r="P13" i="29"/>
  <c r="P21"/>
  <c r="P25"/>
  <c r="P29"/>
  <c r="P33"/>
  <c r="P37"/>
  <c r="P41"/>
  <c r="P12"/>
  <c r="P16"/>
  <c r="P20"/>
  <c r="P24"/>
  <c r="P28"/>
  <c r="P32"/>
  <c r="P36"/>
  <c r="P40"/>
  <c r="P17"/>
  <c r="P15"/>
  <c r="P19"/>
  <c r="P23"/>
  <c r="P27"/>
  <c r="P31"/>
  <c r="P35"/>
  <c r="P39"/>
  <c r="P43"/>
  <c r="P14"/>
  <c r="P18"/>
  <c r="P22"/>
  <c r="P26"/>
  <c r="P30"/>
  <c r="P34"/>
  <c r="P38"/>
  <c r="P42"/>
  <c r="P15" i="144"/>
  <c r="P19"/>
  <c r="P23"/>
  <c r="P27"/>
  <c r="P31"/>
  <c r="P35"/>
  <c r="P39"/>
  <c r="P43"/>
  <c r="P14"/>
  <c r="P18"/>
  <c r="P22"/>
  <c r="P26"/>
  <c r="P30"/>
  <c r="P34"/>
  <c r="P38"/>
  <c r="P42"/>
  <c r="P13"/>
  <c r="P17"/>
  <c r="P21"/>
  <c r="P25"/>
  <c r="P29"/>
  <c r="P33"/>
  <c r="P37"/>
  <c r="P41"/>
  <c r="P12"/>
  <c r="P16"/>
  <c r="P20"/>
  <c r="P24"/>
  <c r="P28"/>
  <c r="P32"/>
  <c r="P36"/>
  <c r="P40"/>
  <c r="AM51" i="111"/>
  <c r="AN51" s="1"/>
  <c r="AO45"/>
  <c r="AQ49" i="5"/>
  <c r="AG13" i="4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12"/>
  <c r="J18" i="113"/>
  <c r="J19"/>
  <c r="J22"/>
  <c r="J25"/>
  <c r="J26"/>
  <c r="J27"/>
  <c r="J28"/>
  <c r="J29"/>
  <c r="J32"/>
  <c r="J33"/>
  <c r="J36"/>
  <c r="J40"/>
  <c r="J45"/>
  <c r="H45"/>
  <c r="G45"/>
  <c r="C45"/>
  <c r="H37" i="146" l="1"/>
  <c r="L20" i="147"/>
  <c r="P44" i="144"/>
  <c r="V14" i="75"/>
  <c r="W14" s="1"/>
  <c r="V15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13"/>
  <c r="U46"/>
  <c r="V15" i="7"/>
  <c r="W15" s="1"/>
  <c r="V16"/>
  <c r="W16" s="1"/>
  <c r="V17"/>
  <c r="W17" s="1"/>
  <c r="V18"/>
  <c r="W18" s="1"/>
  <c r="V19"/>
  <c r="W19" s="1"/>
  <c r="V20"/>
  <c r="W20" s="1"/>
  <c r="V21"/>
  <c r="W21" s="1"/>
  <c r="V22"/>
  <c r="W22" s="1"/>
  <c r="V23"/>
  <c r="W23" s="1"/>
  <c r="V24"/>
  <c r="W24" s="1"/>
  <c r="V25"/>
  <c r="W25" s="1"/>
  <c r="V26"/>
  <c r="W26" s="1"/>
  <c r="V27"/>
  <c r="W27" s="1"/>
  <c r="V28"/>
  <c r="W28" s="1"/>
  <c r="V29"/>
  <c r="W29" s="1"/>
  <c r="V30"/>
  <c r="W30" s="1"/>
  <c r="V31"/>
  <c r="W31" s="1"/>
  <c r="V32"/>
  <c r="W32" s="1"/>
  <c r="V33"/>
  <c r="W33" s="1"/>
  <c r="V34"/>
  <c r="W34" s="1"/>
  <c r="V35"/>
  <c r="W35" s="1"/>
  <c r="V36"/>
  <c r="W36" s="1"/>
  <c r="V37"/>
  <c r="W37" s="1"/>
  <c r="V38"/>
  <c r="W38" s="1"/>
  <c r="V39"/>
  <c r="W39" s="1"/>
  <c r="V40"/>
  <c r="W40" s="1"/>
  <c r="V41"/>
  <c r="W41" s="1"/>
  <c r="V42"/>
  <c r="W42" s="1"/>
  <c r="V43"/>
  <c r="W43" s="1"/>
  <c r="V44"/>
  <c r="W44" s="1"/>
  <c r="V45"/>
  <c r="W45" s="1"/>
  <c r="V46"/>
  <c r="W46" s="1"/>
  <c r="V14"/>
  <c r="W14" s="1"/>
  <c r="U47"/>
  <c r="V47" s="1"/>
  <c r="W47" s="1"/>
  <c r="V46" i="75" l="1"/>
  <c r="W13"/>
  <c r="W46" s="1"/>
  <c r="D45" i="13"/>
  <c r="E45"/>
  <c r="F45"/>
  <c r="H45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12"/>
  <c r="I45" s="1"/>
  <c r="C45"/>
  <c r="C46" i="86"/>
  <c r="E46"/>
  <c r="F46"/>
  <c r="G46"/>
  <c r="Q51" s="1"/>
  <c r="H46"/>
  <c r="I46"/>
  <c r="D46"/>
  <c r="Q44" i="93"/>
  <c r="Q45" s="1"/>
  <c r="X46" i="75" l="1"/>
  <c r="K46" i="86"/>
  <c r="T46"/>
  <c r="N46"/>
  <c r="O46" s="1"/>
  <c r="F42" i="142"/>
  <c r="E42"/>
  <c r="C42"/>
  <c r="D42" s="1"/>
  <c r="G42" s="1"/>
  <c r="P12" i="60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11"/>
  <c r="M12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11"/>
  <c r="P12" i="47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11"/>
  <c r="M11"/>
  <c r="D43" i="103"/>
  <c r="H43"/>
  <c r="E43"/>
  <c r="Q46" i="86" l="1"/>
  <c r="R46" s="1"/>
  <c r="AJ45" i="4"/>
  <c r="AG45"/>
  <c r="F43" i="103" l="1"/>
  <c r="Y14" i="1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13"/>
  <c r="G22" i="102"/>
  <c r="E14" i="114"/>
  <c r="E15"/>
  <c r="E16"/>
  <c r="G16" s="1"/>
  <c r="E17"/>
  <c r="E18"/>
  <c r="E19"/>
  <c r="E20"/>
  <c r="E21"/>
  <c r="G21" s="1"/>
  <c r="E22"/>
  <c r="E23"/>
  <c r="E24"/>
  <c r="G24" s="1"/>
  <c r="E25"/>
  <c r="E26"/>
  <c r="E27"/>
  <c r="E28"/>
  <c r="E29"/>
  <c r="G29" s="1"/>
  <c r="E30"/>
  <c r="E31"/>
  <c r="E32"/>
  <c r="G32" s="1"/>
  <c r="E33"/>
  <c r="E34"/>
  <c r="E35"/>
  <c r="E36"/>
  <c r="E37"/>
  <c r="G37" s="1"/>
  <c r="E38"/>
  <c r="E39"/>
  <c r="E40"/>
  <c r="G40" s="1"/>
  <c r="E41"/>
  <c r="G41" s="1"/>
  <c r="E42"/>
  <c r="E43"/>
  <c r="E44"/>
  <c r="E45"/>
  <c r="G45" s="1"/>
  <c r="E13"/>
  <c r="AF15" i="88"/>
  <c r="AI15" s="1"/>
  <c r="AF16"/>
  <c r="AI16" s="1"/>
  <c r="AJ16" s="1"/>
  <c r="AF17"/>
  <c r="AG17" s="1"/>
  <c r="AF18"/>
  <c r="AF19"/>
  <c r="AI19" s="1"/>
  <c r="AF20"/>
  <c r="AF21"/>
  <c r="AG21" s="1"/>
  <c r="AF22"/>
  <c r="AF23"/>
  <c r="AI23" s="1"/>
  <c r="AF24"/>
  <c r="AI24" s="1"/>
  <c r="AJ24" s="1"/>
  <c r="AF25"/>
  <c r="AG25" s="1"/>
  <c r="AF26"/>
  <c r="AF27"/>
  <c r="AI27" s="1"/>
  <c r="AF28"/>
  <c r="AI28" s="1"/>
  <c r="AJ28" s="1"/>
  <c r="AF29"/>
  <c r="AG29" s="1"/>
  <c r="AF30"/>
  <c r="AF31"/>
  <c r="AI31" s="1"/>
  <c r="AF32"/>
  <c r="AI32" s="1"/>
  <c r="AJ32" s="1"/>
  <c r="AF33"/>
  <c r="AG33" s="1"/>
  <c r="AF34"/>
  <c r="AF35"/>
  <c r="AI35" s="1"/>
  <c r="AF36"/>
  <c r="AF37"/>
  <c r="AG37" s="1"/>
  <c r="AF38"/>
  <c r="AF39"/>
  <c r="AI39" s="1"/>
  <c r="AF40"/>
  <c r="AI40" s="1"/>
  <c r="AJ40" s="1"/>
  <c r="AF41"/>
  <c r="AG41" s="1"/>
  <c r="AF42"/>
  <c r="AF43"/>
  <c r="AI43" s="1"/>
  <c r="AF44"/>
  <c r="AG44" s="1"/>
  <c r="AF45"/>
  <c r="AG45" s="1"/>
  <c r="AF46"/>
  <c r="AF14"/>
  <c r="AI14" s="1"/>
  <c r="AC15"/>
  <c r="AD15" s="1"/>
  <c r="AC16"/>
  <c r="AD16" s="1"/>
  <c r="AC17"/>
  <c r="AD17" s="1"/>
  <c r="AC18"/>
  <c r="AD18" s="1"/>
  <c r="AC19"/>
  <c r="AD19" s="1"/>
  <c r="AC20"/>
  <c r="AD20" s="1"/>
  <c r="AC21"/>
  <c r="AD21" s="1"/>
  <c r="AC22"/>
  <c r="AD22" s="1"/>
  <c r="AC23"/>
  <c r="AD23" s="1"/>
  <c r="AC24"/>
  <c r="AD24" s="1"/>
  <c r="AC25"/>
  <c r="AD25" s="1"/>
  <c r="AC26"/>
  <c r="AD26" s="1"/>
  <c r="AC27"/>
  <c r="AD27" s="1"/>
  <c r="AC28"/>
  <c r="AD28" s="1"/>
  <c r="AC29"/>
  <c r="AD29" s="1"/>
  <c r="AC30"/>
  <c r="AD30" s="1"/>
  <c r="AC31"/>
  <c r="AD31" s="1"/>
  <c r="AC32"/>
  <c r="AD32" s="1"/>
  <c r="AC33"/>
  <c r="AD33" s="1"/>
  <c r="AC34"/>
  <c r="AD34" s="1"/>
  <c r="AC35"/>
  <c r="AD35" s="1"/>
  <c r="AC36"/>
  <c r="AD36" s="1"/>
  <c r="AC37"/>
  <c r="AD37" s="1"/>
  <c r="AC38"/>
  <c r="AD38" s="1"/>
  <c r="AC39"/>
  <c r="AD39" s="1"/>
  <c r="AC40"/>
  <c r="AD40" s="1"/>
  <c r="AC41"/>
  <c r="AD41" s="1"/>
  <c r="AC42"/>
  <c r="AD42" s="1"/>
  <c r="AC43"/>
  <c r="AD43" s="1"/>
  <c r="AC44"/>
  <c r="AD44" s="1"/>
  <c r="AC45"/>
  <c r="AD45" s="1"/>
  <c r="AC46"/>
  <c r="AD46" s="1"/>
  <c r="AC14"/>
  <c r="AD14" s="1"/>
  <c r="Z15"/>
  <c r="AA15" s="1"/>
  <c r="Z16"/>
  <c r="AA16" s="1"/>
  <c r="Z17"/>
  <c r="AA17" s="1"/>
  <c r="Z18"/>
  <c r="AA18" s="1"/>
  <c r="Z19"/>
  <c r="AA19" s="1"/>
  <c r="Z20"/>
  <c r="AA20" s="1"/>
  <c r="Z21"/>
  <c r="AA21" s="1"/>
  <c r="Z22"/>
  <c r="AA22" s="1"/>
  <c r="Z23"/>
  <c r="AA23" s="1"/>
  <c r="Z24"/>
  <c r="AA24" s="1"/>
  <c r="Z25"/>
  <c r="AA25" s="1"/>
  <c r="Z26"/>
  <c r="AA26" s="1"/>
  <c r="Z27"/>
  <c r="AA27" s="1"/>
  <c r="Z28"/>
  <c r="AA28" s="1"/>
  <c r="Z29"/>
  <c r="AA29" s="1"/>
  <c r="Z30"/>
  <c r="AA30" s="1"/>
  <c r="Z31"/>
  <c r="AA31" s="1"/>
  <c r="Z32"/>
  <c r="AA32" s="1"/>
  <c r="Z33"/>
  <c r="AA33" s="1"/>
  <c r="Z34"/>
  <c r="AA34" s="1"/>
  <c r="Z35"/>
  <c r="AA35" s="1"/>
  <c r="Z36"/>
  <c r="AA36" s="1"/>
  <c r="Z37"/>
  <c r="AA37" s="1"/>
  <c r="Z38"/>
  <c r="AA38" s="1"/>
  <c r="Z39"/>
  <c r="AA39" s="1"/>
  <c r="Z40"/>
  <c r="AA40" s="1"/>
  <c r="Z41"/>
  <c r="AA41" s="1"/>
  <c r="Z42"/>
  <c r="AA42" s="1"/>
  <c r="Z43"/>
  <c r="AA43" s="1"/>
  <c r="Z44"/>
  <c r="AA44" s="1"/>
  <c r="Z45"/>
  <c r="AA45" s="1"/>
  <c r="Z46"/>
  <c r="AA46" s="1"/>
  <c r="Z14"/>
  <c r="AA14" s="1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14"/>
  <c r="AD15" i="7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14"/>
  <c r="O14" i="75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J46"/>
  <c r="I46"/>
  <c r="S14"/>
  <c r="T14" s="1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37"/>
  <c r="T37" s="1"/>
  <c r="S38"/>
  <c r="T38" s="1"/>
  <c r="S39"/>
  <c r="T39" s="1"/>
  <c r="S40"/>
  <c r="T40" s="1"/>
  <c r="S41"/>
  <c r="T41" s="1"/>
  <c r="S42"/>
  <c r="T42" s="1"/>
  <c r="S43"/>
  <c r="T43" s="1"/>
  <c r="S44"/>
  <c r="T44" s="1"/>
  <c r="S45"/>
  <c r="T45" s="1"/>
  <c r="S13"/>
  <c r="T13" s="1"/>
  <c r="D46"/>
  <c r="C46"/>
  <c r="X15" i="7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14"/>
  <c r="L47"/>
  <c r="M47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14"/>
  <c r="AG42" i="88" l="1"/>
  <c r="AH42" s="1"/>
  <c r="AG28"/>
  <c r="AH28" s="1"/>
  <c r="AG20"/>
  <c r="AH20" s="1"/>
  <c r="AH44"/>
  <c r="AI44"/>
  <c r="AJ44" s="1"/>
  <c r="AI36"/>
  <c r="AJ36" s="1"/>
  <c r="AI20"/>
  <c r="AJ20" s="1"/>
  <c r="AG36"/>
  <c r="AH36" s="1"/>
  <c r="AG34"/>
  <c r="AH34" s="1"/>
  <c r="AG26"/>
  <c r="AH26" s="1"/>
  <c r="AG18"/>
  <c r="AH18" s="1"/>
  <c r="AG43"/>
  <c r="AG40"/>
  <c r="AH40" s="1"/>
  <c r="AG35"/>
  <c r="AG32"/>
  <c r="AH32" s="1"/>
  <c r="AG27"/>
  <c r="AG24"/>
  <c r="AH24" s="1"/>
  <c r="AG19"/>
  <c r="AH19" s="1"/>
  <c r="AG16"/>
  <c r="AH16" s="1"/>
  <c r="AH43"/>
  <c r="AH35"/>
  <c r="AH27"/>
  <c r="N47" i="7"/>
  <c r="AJ43" i="88"/>
  <c r="AK43" s="1"/>
  <c r="AJ35"/>
  <c r="AK35" s="1"/>
  <c r="AJ27"/>
  <c r="AK27" s="1"/>
  <c r="AJ19"/>
  <c r="AK19" s="1"/>
  <c r="AJ14"/>
  <c r="AK14" s="1"/>
  <c r="AJ39"/>
  <c r="AK39" s="1"/>
  <c r="AJ31"/>
  <c r="AK31" s="1"/>
  <c r="AJ23"/>
  <c r="AK23" s="1"/>
  <c r="AJ15"/>
  <c r="AK15" s="1"/>
  <c r="AG46"/>
  <c r="AH46" s="1"/>
  <c r="AG38"/>
  <c r="AH38" s="1"/>
  <c r="AG30"/>
  <c r="AH30" s="1"/>
  <c r="AG22"/>
  <c r="AH22" s="1"/>
  <c r="G43" i="114"/>
  <c r="G35"/>
  <c r="G27"/>
  <c r="G19"/>
  <c r="AG14" i="88"/>
  <c r="AH14" s="1"/>
  <c r="AG39"/>
  <c r="AH39" s="1"/>
  <c r="AG31"/>
  <c r="AH31" s="1"/>
  <c r="AG23"/>
  <c r="AH23" s="1"/>
  <c r="AG15"/>
  <c r="AH15" s="1"/>
  <c r="AI41"/>
  <c r="AI33"/>
  <c r="AI25"/>
  <c r="AI17"/>
  <c r="G44" i="114"/>
  <c r="G36"/>
  <c r="G28"/>
  <c r="G20"/>
  <c r="K46" i="75"/>
  <c r="Q46" s="1"/>
  <c r="P46"/>
  <c r="AH41" i="88"/>
  <c r="AH33"/>
  <c r="AH25"/>
  <c r="AH17"/>
  <c r="AI42"/>
  <c r="AI34"/>
  <c r="AI26"/>
  <c r="AI18"/>
  <c r="AK44"/>
  <c r="AK36"/>
  <c r="AK28"/>
  <c r="AK20"/>
  <c r="G13" i="114"/>
  <c r="G38"/>
  <c r="G30"/>
  <c r="G22"/>
  <c r="G14"/>
  <c r="E46"/>
  <c r="G39"/>
  <c r="G31"/>
  <c r="G23"/>
  <c r="G15"/>
  <c r="AI45" i="88"/>
  <c r="AI37"/>
  <c r="AI29"/>
  <c r="AI21"/>
  <c r="E46" i="75"/>
  <c r="AH45" i="88"/>
  <c r="AH37"/>
  <c r="AH29"/>
  <c r="AH21"/>
  <c r="AI46"/>
  <c r="AI38"/>
  <c r="AI30"/>
  <c r="AI22"/>
  <c r="AK40"/>
  <c r="AK32"/>
  <c r="AK24"/>
  <c r="AK16"/>
  <c r="G33" i="114"/>
  <c r="G25"/>
  <c r="G17"/>
  <c r="G42"/>
  <c r="G34"/>
  <c r="G26"/>
  <c r="G18"/>
  <c r="O46" i="75"/>
  <c r="X47" i="7"/>
  <c r="E56" i="114" l="1"/>
  <c r="K59" s="1"/>
  <c r="M59" s="1"/>
  <c r="G52" i="88"/>
  <c r="I59" i="114"/>
  <c r="F56"/>
  <c r="AJ41" i="88"/>
  <c r="AK41" s="1"/>
  <c r="AJ18"/>
  <c r="AK18" s="1"/>
  <c r="AJ33"/>
  <c r="AK33" s="1"/>
  <c r="AJ17"/>
  <c r="AK17" s="1"/>
  <c r="AJ26"/>
  <c r="AK26" s="1"/>
  <c r="AJ37"/>
  <c r="AK37" s="1"/>
  <c r="AJ46"/>
  <c r="AK46" s="1"/>
  <c r="AJ25"/>
  <c r="AK25" s="1"/>
  <c r="AJ29"/>
  <c r="AK29" s="1"/>
  <c r="AJ21"/>
  <c r="AK21" s="1"/>
  <c r="AJ22"/>
  <c r="AK22" s="1"/>
  <c r="AJ42"/>
  <c r="AK42" s="1"/>
  <c r="G46" i="114"/>
  <c r="AJ45" i="88"/>
  <c r="AK45" s="1"/>
  <c r="AJ38"/>
  <c r="AK38" s="1"/>
  <c r="AJ30"/>
  <c r="AK30" s="1"/>
  <c r="AJ34"/>
  <c r="AK34" s="1"/>
  <c r="J47" i="7"/>
  <c r="AA15"/>
  <c r="AB15" s="1"/>
  <c r="AA16"/>
  <c r="AB16" s="1"/>
  <c r="AA17"/>
  <c r="AB17" s="1"/>
  <c r="AA18"/>
  <c r="AB18" s="1"/>
  <c r="AA19"/>
  <c r="AB19" s="1"/>
  <c r="AA20"/>
  <c r="AB20" s="1"/>
  <c r="AA21"/>
  <c r="AB21" s="1"/>
  <c r="AA22"/>
  <c r="AB22" s="1"/>
  <c r="AA23"/>
  <c r="AB23" s="1"/>
  <c r="AA24"/>
  <c r="AB24" s="1"/>
  <c r="AA25"/>
  <c r="AB25" s="1"/>
  <c r="AA26"/>
  <c r="AB26" s="1"/>
  <c r="AA27"/>
  <c r="AB27" s="1"/>
  <c r="AA28"/>
  <c r="AB28" s="1"/>
  <c r="AA29"/>
  <c r="AB29" s="1"/>
  <c r="AA30"/>
  <c r="AB30" s="1"/>
  <c r="AA31"/>
  <c r="AB31" s="1"/>
  <c r="AA32"/>
  <c r="AB32" s="1"/>
  <c r="AA33"/>
  <c r="AB33" s="1"/>
  <c r="AA34"/>
  <c r="AB34" s="1"/>
  <c r="AA35"/>
  <c r="AB35" s="1"/>
  <c r="AA36"/>
  <c r="AB36" s="1"/>
  <c r="AA37"/>
  <c r="AB37" s="1"/>
  <c r="AA38"/>
  <c r="AB38" s="1"/>
  <c r="AA39"/>
  <c r="AB39" s="1"/>
  <c r="AA40"/>
  <c r="AB40" s="1"/>
  <c r="AA41"/>
  <c r="AB41" s="1"/>
  <c r="AA42"/>
  <c r="AB42" s="1"/>
  <c r="AA43"/>
  <c r="AB43" s="1"/>
  <c r="AA44"/>
  <c r="AB44" s="1"/>
  <c r="AA45"/>
  <c r="AB45" s="1"/>
  <c r="AA46"/>
  <c r="AB46" s="1"/>
  <c r="AA14"/>
  <c r="AB14" s="1"/>
  <c r="I47"/>
  <c r="S15"/>
  <c r="T15" s="1"/>
  <c r="S16"/>
  <c r="T16" s="1"/>
  <c r="S17"/>
  <c r="T17" s="1"/>
  <c r="S18"/>
  <c r="T18" s="1"/>
  <c r="S19"/>
  <c r="T19" s="1"/>
  <c r="S20"/>
  <c r="T20" s="1"/>
  <c r="S21"/>
  <c r="T21" s="1"/>
  <c r="S22"/>
  <c r="T22" s="1"/>
  <c r="S23"/>
  <c r="T23" s="1"/>
  <c r="S24"/>
  <c r="T24" s="1"/>
  <c r="S25"/>
  <c r="T25" s="1"/>
  <c r="S26"/>
  <c r="T26" s="1"/>
  <c r="S27"/>
  <c r="T27" s="1"/>
  <c r="S28"/>
  <c r="T28" s="1"/>
  <c r="S29"/>
  <c r="T29" s="1"/>
  <c r="S30"/>
  <c r="T30" s="1"/>
  <c r="S31"/>
  <c r="T31" s="1"/>
  <c r="S32"/>
  <c r="T32" s="1"/>
  <c r="S33"/>
  <c r="T33" s="1"/>
  <c r="S34"/>
  <c r="T34" s="1"/>
  <c r="S35"/>
  <c r="T35" s="1"/>
  <c r="S36"/>
  <c r="T36" s="1"/>
  <c r="S37"/>
  <c r="T37" s="1"/>
  <c r="S38"/>
  <c r="T38" s="1"/>
  <c r="S39"/>
  <c r="T39" s="1"/>
  <c r="S40"/>
  <c r="T40" s="1"/>
  <c r="S41"/>
  <c r="T41" s="1"/>
  <c r="S42"/>
  <c r="T42" s="1"/>
  <c r="S43"/>
  <c r="T43" s="1"/>
  <c r="S44"/>
  <c r="T44" s="1"/>
  <c r="S45"/>
  <c r="T45" s="1"/>
  <c r="S46"/>
  <c r="T46" s="1"/>
  <c r="S14"/>
  <c r="T14" s="1"/>
  <c r="O47" l="1"/>
  <c r="I49" i="75"/>
  <c r="P47" i="7"/>
  <c r="K47"/>
  <c r="Q47" s="1"/>
  <c r="D47"/>
  <c r="AN47" s="1"/>
  <c r="C47"/>
  <c r="AM47" s="1"/>
  <c r="E47" l="1"/>
  <c r="L13" i="13"/>
  <c r="M13" s="1"/>
  <c r="L14"/>
  <c r="M14" s="1"/>
  <c r="L15"/>
  <c r="M15" s="1"/>
  <c r="L16"/>
  <c r="L17"/>
  <c r="L18"/>
  <c r="L19"/>
  <c r="L20"/>
  <c r="M20" s="1"/>
  <c r="L21"/>
  <c r="M21" s="1"/>
  <c r="L22"/>
  <c r="M22" s="1"/>
  <c r="L23"/>
  <c r="L24"/>
  <c r="M24" s="1"/>
  <c r="L25"/>
  <c r="M25" s="1"/>
  <c r="L26"/>
  <c r="L27"/>
  <c r="L28"/>
  <c r="L29"/>
  <c r="M29" s="1"/>
  <c r="L30"/>
  <c r="L31"/>
  <c r="L32"/>
  <c r="M32" s="1"/>
  <c r="L33"/>
  <c r="L34"/>
  <c r="M34" s="1"/>
  <c r="L35"/>
  <c r="L36"/>
  <c r="M36" s="1"/>
  <c r="L37"/>
  <c r="M37" s="1"/>
  <c r="L38"/>
  <c r="M38" s="1"/>
  <c r="L39"/>
  <c r="M39" s="1"/>
  <c r="L40"/>
  <c r="M40" s="1"/>
  <c r="L41"/>
  <c r="L42"/>
  <c r="L43"/>
  <c r="L44"/>
  <c r="M44" s="1"/>
  <c r="L45"/>
  <c r="L12"/>
  <c r="P28" l="1"/>
  <c r="O28"/>
  <c r="N28"/>
  <c r="P37"/>
  <c r="O37"/>
  <c r="N37"/>
  <c r="M12"/>
  <c r="P12"/>
  <c r="O12"/>
  <c r="N12"/>
  <c r="M28"/>
  <c r="P36"/>
  <c r="O36"/>
  <c r="N36"/>
  <c r="O22"/>
  <c r="P22"/>
  <c r="N22"/>
  <c r="O23"/>
  <c r="P23"/>
  <c r="N23"/>
  <c r="O16"/>
  <c r="P16"/>
  <c r="N16"/>
  <c r="M16"/>
  <c r="P21"/>
  <c r="O21"/>
  <c r="N21"/>
  <c r="O30"/>
  <c r="P30"/>
  <c r="N30"/>
  <c r="O31"/>
  <c r="P31"/>
  <c r="N31"/>
  <c r="O17"/>
  <c r="P17"/>
  <c r="N17"/>
  <c r="M23"/>
  <c r="M17"/>
  <c r="P44"/>
  <c r="O44"/>
  <c r="N44"/>
  <c r="P13"/>
  <c r="O13"/>
  <c r="N13"/>
  <c r="O14"/>
  <c r="P14"/>
  <c r="N14"/>
  <c r="O39"/>
  <c r="P39"/>
  <c r="N39"/>
  <c r="O24"/>
  <c r="P24"/>
  <c r="N24"/>
  <c r="O41"/>
  <c r="P41"/>
  <c r="N41"/>
  <c r="O25"/>
  <c r="P25"/>
  <c r="N25"/>
  <c r="O42"/>
  <c r="P42"/>
  <c r="N42"/>
  <c r="O26"/>
  <c r="P26"/>
  <c r="N26"/>
  <c r="O18"/>
  <c r="P18"/>
  <c r="N18"/>
  <c r="M31"/>
  <c r="M41"/>
  <c r="M42"/>
  <c r="M26"/>
  <c r="M18"/>
  <c r="P20"/>
  <c r="O20"/>
  <c r="N20"/>
  <c r="P29"/>
  <c r="O29"/>
  <c r="N29"/>
  <c r="O38"/>
  <c r="P38"/>
  <c r="N38"/>
  <c r="O15"/>
  <c r="P15"/>
  <c r="N15"/>
  <c r="O40"/>
  <c r="P40"/>
  <c r="N40"/>
  <c r="O32"/>
  <c r="P32"/>
  <c r="N32"/>
  <c r="O33"/>
  <c r="P33"/>
  <c r="N33"/>
  <c r="O34"/>
  <c r="P34"/>
  <c r="N34"/>
  <c r="O43"/>
  <c r="P43"/>
  <c r="N43"/>
  <c r="O35"/>
  <c r="P35"/>
  <c r="N35"/>
  <c r="O27"/>
  <c r="P27"/>
  <c r="N27"/>
  <c r="O19"/>
  <c r="P19"/>
  <c r="N19"/>
  <c r="M30"/>
  <c r="M33"/>
  <c r="M43"/>
  <c r="M35"/>
  <c r="M27"/>
  <c r="M19"/>
  <c r="M11" i="29"/>
  <c r="W11" s="1"/>
  <c r="X11" s="1"/>
  <c r="F13" i="111"/>
  <c r="AV13" s="1"/>
  <c r="AU13" s="1"/>
  <c r="F14"/>
  <c r="AV14" s="1"/>
  <c r="F15"/>
  <c r="AV15" s="1"/>
  <c r="AU15" s="1"/>
  <c r="F16"/>
  <c r="AV16" s="1"/>
  <c r="AU16" s="1"/>
  <c r="F17"/>
  <c r="AV17" s="1"/>
  <c r="AU17" s="1"/>
  <c r="F18"/>
  <c r="AV18" s="1"/>
  <c r="AU18" s="1"/>
  <c r="F19"/>
  <c r="AV19" s="1"/>
  <c r="AU19" s="1"/>
  <c r="F20"/>
  <c r="AV20" s="1"/>
  <c r="AU20" s="1"/>
  <c r="F21"/>
  <c r="AV21" s="1"/>
  <c r="AU21" s="1"/>
  <c r="F22"/>
  <c r="AV22" s="1"/>
  <c r="AU22" s="1"/>
  <c r="F23"/>
  <c r="AV23" s="1"/>
  <c r="AU23" s="1"/>
  <c r="F24"/>
  <c r="AV24" s="1"/>
  <c r="AU24" s="1"/>
  <c r="F25"/>
  <c r="AV25" s="1"/>
  <c r="AU25" s="1"/>
  <c r="F26"/>
  <c r="AV26" s="1"/>
  <c r="AU26" s="1"/>
  <c r="F27"/>
  <c r="AV27" s="1"/>
  <c r="AU27" s="1"/>
  <c r="F28"/>
  <c r="AV28" s="1"/>
  <c r="AU28" s="1"/>
  <c r="F29"/>
  <c r="AV29" s="1"/>
  <c r="AU29" s="1"/>
  <c r="F30"/>
  <c r="AV30" s="1"/>
  <c r="AU30" s="1"/>
  <c r="F31"/>
  <c r="AV31" s="1"/>
  <c r="AU31" s="1"/>
  <c r="F32"/>
  <c r="AV32" s="1"/>
  <c r="AU32" s="1"/>
  <c r="F33"/>
  <c r="AV33" s="1"/>
  <c r="AU33" s="1"/>
  <c r="F34"/>
  <c r="AV34" s="1"/>
  <c r="AU34" s="1"/>
  <c r="F35"/>
  <c r="AV35" s="1"/>
  <c r="AU35" s="1"/>
  <c r="F36"/>
  <c r="AV36" s="1"/>
  <c r="AU36" s="1"/>
  <c r="F37"/>
  <c r="AV37" s="1"/>
  <c r="AU37" s="1"/>
  <c r="F38"/>
  <c r="AV38" s="1"/>
  <c r="AU38" s="1"/>
  <c r="F39"/>
  <c r="AV39" s="1"/>
  <c r="AU39" s="1"/>
  <c r="F40"/>
  <c r="AV40" s="1"/>
  <c r="AU40" s="1"/>
  <c r="F41"/>
  <c r="AV41" s="1"/>
  <c r="AU41" s="1"/>
  <c r="F42"/>
  <c r="AV42" s="1"/>
  <c r="AU42" s="1"/>
  <c r="F43"/>
  <c r="AV43" s="1"/>
  <c r="AU43" s="1"/>
  <c r="F44"/>
  <c r="AV44" s="1"/>
  <c r="AU44" s="1"/>
  <c r="F12"/>
  <c r="F13" i="4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2"/>
  <c r="J17" i="144"/>
  <c r="K17" s="1"/>
  <c r="J25"/>
  <c r="K25" s="1"/>
  <c r="J33"/>
  <c r="K33" s="1"/>
  <c r="J41"/>
  <c r="K41" s="1"/>
  <c r="M44" i="29" l="1"/>
  <c r="U11"/>
  <c r="V11" s="1"/>
  <c r="F45" i="111"/>
  <c r="AV12"/>
  <c r="AU12" s="1"/>
  <c r="AU14"/>
  <c r="F45" i="4"/>
  <c r="J43" i="144"/>
  <c r="K43" s="1"/>
  <c r="J40"/>
  <c r="K40" s="1"/>
  <c r="J35"/>
  <c r="K35" s="1"/>
  <c r="J32"/>
  <c r="K32" s="1"/>
  <c r="J30"/>
  <c r="K30" s="1"/>
  <c r="J27"/>
  <c r="K27" s="1"/>
  <c r="J24"/>
  <c r="K24" s="1"/>
  <c r="J22"/>
  <c r="K22" s="1"/>
  <c r="J19"/>
  <c r="K19" s="1"/>
  <c r="J16"/>
  <c r="K16" s="1"/>
  <c r="J14"/>
  <c r="K14" s="1"/>
  <c r="J38"/>
  <c r="K38" s="1"/>
  <c r="J42"/>
  <c r="K42" s="1"/>
  <c r="J39"/>
  <c r="K39" s="1"/>
  <c r="J36"/>
  <c r="K36" s="1"/>
  <c r="J34"/>
  <c r="K34" s="1"/>
  <c r="J31"/>
  <c r="K31" s="1"/>
  <c r="J28"/>
  <c r="K28" s="1"/>
  <c r="J26"/>
  <c r="K26" s="1"/>
  <c r="J23"/>
  <c r="K23" s="1"/>
  <c r="J20"/>
  <c r="K20" s="1"/>
  <c r="J18"/>
  <c r="K18" s="1"/>
  <c r="J15"/>
  <c r="K15" s="1"/>
  <c r="J12"/>
  <c r="K12" s="1"/>
  <c r="J37"/>
  <c r="K37" s="1"/>
  <c r="J29"/>
  <c r="K29" s="1"/>
  <c r="J21"/>
  <c r="K21" s="1"/>
  <c r="J13"/>
  <c r="K13" s="1"/>
  <c r="J11"/>
  <c r="K11" s="1"/>
  <c r="O11" i="29"/>
  <c r="O44" s="1"/>
  <c r="N11"/>
  <c r="N44" s="1"/>
  <c r="J11"/>
  <c r="K11" s="1"/>
  <c r="J43"/>
  <c r="K43" s="1"/>
  <c r="J41"/>
  <c r="K41" s="1"/>
  <c r="J39"/>
  <c r="K39" s="1"/>
  <c r="J37"/>
  <c r="K37" s="1"/>
  <c r="J35"/>
  <c r="K35" s="1"/>
  <c r="J33"/>
  <c r="K33" s="1"/>
  <c r="J31"/>
  <c r="K31" s="1"/>
  <c r="J29"/>
  <c r="K29" s="1"/>
  <c r="J27"/>
  <c r="K27" s="1"/>
  <c r="J25"/>
  <c r="K25" s="1"/>
  <c r="J23"/>
  <c r="K23" s="1"/>
  <c r="J21"/>
  <c r="K21" s="1"/>
  <c r="J19"/>
  <c r="K19" s="1"/>
  <c r="J17"/>
  <c r="K17" s="1"/>
  <c r="J15"/>
  <c r="K15" s="1"/>
  <c r="J13"/>
  <c r="K13" s="1"/>
  <c r="J42"/>
  <c r="K42" s="1"/>
  <c r="J40"/>
  <c r="K40" s="1"/>
  <c r="J38"/>
  <c r="K38" s="1"/>
  <c r="J36"/>
  <c r="K36" s="1"/>
  <c r="J34"/>
  <c r="K34" s="1"/>
  <c r="J32"/>
  <c r="K32" s="1"/>
  <c r="J30"/>
  <c r="K30" s="1"/>
  <c r="J28"/>
  <c r="K28" s="1"/>
  <c r="J26"/>
  <c r="K26" s="1"/>
  <c r="J24"/>
  <c r="K24" s="1"/>
  <c r="J22"/>
  <c r="K22" s="1"/>
  <c r="J20"/>
  <c r="K20" s="1"/>
  <c r="J18"/>
  <c r="K18" s="1"/>
  <c r="J16"/>
  <c r="K16" s="1"/>
  <c r="J14"/>
  <c r="K14" s="1"/>
  <c r="J12"/>
  <c r="K12" s="1"/>
  <c r="U44" l="1"/>
  <c r="V44" s="1"/>
  <c r="W44"/>
  <c r="X44" s="1"/>
  <c r="AU45" i="111"/>
  <c r="AV45"/>
  <c r="J44" i="144"/>
  <c r="J44" i="29"/>
  <c r="P11"/>
  <c r="P44" s="1"/>
  <c r="F18" i="113"/>
  <c r="F19"/>
  <c r="F22"/>
  <c r="F25"/>
  <c r="F26"/>
  <c r="F27"/>
  <c r="F28"/>
  <c r="F29"/>
  <c r="F32"/>
  <c r="F33"/>
  <c r="F36"/>
  <c r="F40"/>
  <c r="F16"/>
  <c r="D45"/>
  <c r="K45" s="1"/>
  <c r="J44" i="47"/>
  <c r="O44" s="1"/>
  <c r="K44"/>
  <c r="P44" s="1"/>
  <c r="H44"/>
  <c r="N12"/>
  <c r="Q12" s="1"/>
  <c r="S12" s="1"/>
  <c r="N13"/>
  <c r="Q13" s="1"/>
  <c r="S13" s="1"/>
  <c r="N14"/>
  <c r="Q14" s="1"/>
  <c r="S14" s="1"/>
  <c r="N15"/>
  <c r="Q15" s="1"/>
  <c r="S15" s="1"/>
  <c r="N16"/>
  <c r="Q16" s="1"/>
  <c r="S16" s="1"/>
  <c r="N17"/>
  <c r="Q17" s="1"/>
  <c r="S17" s="1"/>
  <c r="N18"/>
  <c r="Q18" s="1"/>
  <c r="S18" s="1"/>
  <c r="N19"/>
  <c r="Q19" s="1"/>
  <c r="S19" s="1"/>
  <c r="N20"/>
  <c r="Q20" s="1"/>
  <c r="S20" s="1"/>
  <c r="N21"/>
  <c r="Q21" s="1"/>
  <c r="S21" s="1"/>
  <c r="N22"/>
  <c r="Q22" s="1"/>
  <c r="S22" s="1"/>
  <c r="N23"/>
  <c r="Q23" s="1"/>
  <c r="S23" s="1"/>
  <c r="N24"/>
  <c r="Q24" s="1"/>
  <c r="S24" s="1"/>
  <c r="N25"/>
  <c r="Q25" s="1"/>
  <c r="S25" s="1"/>
  <c r="N26"/>
  <c r="Q26" s="1"/>
  <c r="S26" s="1"/>
  <c r="N27"/>
  <c r="Q27" s="1"/>
  <c r="S27" s="1"/>
  <c r="N28"/>
  <c r="Q28" s="1"/>
  <c r="S28" s="1"/>
  <c r="N29"/>
  <c r="Q29" s="1"/>
  <c r="S29" s="1"/>
  <c r="N30"/>
  <c r="Q30" s="1"/>
  <c r="S30" s="1"/>
  <c r="N31"/>
  <c r="Q31" s="1"/>
  <c r="S31" s="1"/>
  <c r="N32"/>
  <c r="Q32" s="1"/>
  <c r="S32" s="1"/>
  <c r="N33"/>
  <c r="Q33" s="1"/>
  <c r="S33" s="1"/>
  <c r="N34"/>
  <c r="Q34" s="1"/>
  <c r="S34" s="1"/>
  <c r="N35"/>
  <c r="Q35" s="1"/>
  <c r="S35" s="1"/>
  <c r="N36"/>
  <c r="Q36" s="1"/>
  <c r="S36" s="1"/>
  <c r="N37"/>
  <c r="Q37" s="1"/>
  <c r="S37" s="1"/>
  <c r="N38"/>
  <c r="Q38" s="1"/>
  <c r="S38" s="1"/>
  <c r="N39"/>
  <c r="Q39" s="1"/>
  <c r="S39" s="1"/>
  <c r="N40"/>
  <c r="Q40" s="1"/>
  <c r="S40" s="1"/>
  <c r="N41"/>
  <c r="Q41" s="1"/>
  <c r="S41" s="1"/>
  <c r="N42"/>
  <c r="Q42" s="1"/>
  <c r="S42" s="1"/>
  <c r="N43"/>
  <c r="Q43" s="1"/>
  <c r="S43" s="1"/>
  <c r="N11"/>
  <c r="J44" i="60"/>
  <c r="O44" s="1"/>
  <c r="K44"/>
  <c r="P44" s="1"/>
  <c r="I12"/>
  <c r="I13"/>
  <c r="N13" s="1"/>
  <c r="AS13" s="1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11"/>
  <c r="F23" i="28"/>
  <c r="E23"/>
  <c r="D23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G23" s="1"/>
  <c r="K23" i="27"/>
  <c r="E23"/>
  <c r="F23"/>
  <c r="D23"/>
  <c r="G22"/>
  <c r="H22" s="1"/>
  <c r="I22" s="1"/>
  <c r="G21"/>
  <c r="H21" s="1"/>
  <c r="J21" s="1"/>
  <c r="G20"/>
  <c r="H20" s="1"/>
  <c r="I20" s="1"/>
  <c r="G19"/>
  <c r="H19" s="1"/>
  <c r="I19" s="1"/>
  <c r="G18"/>
  <c r="H18" s="1"/>
  <c r="I18" s="1"/>
  <c r="G17"/>
  <c r="H17" s="1"/>
  <c r="I17" s="1"/>
  <c r="G16"/>
  <c r="H16" s="1"/>
  <c r="I16" s="1"/>
  <c r="G15"/>
  <c r="H15" s="1"/>
  <c r="J15" s="1"/>
  <c r="G14"/>
  <c r="H14" s="1"/>
  <c r="J14" s="1"/>
  <c r="G13"/>
  <c r="H13" s="1"/>
  <c r="J13" s="1"/>
  <c r="G12"/>
  <c r="H12" s="1"/>
  <c r="I12" s="1"/>
  <c r="G11"/>
  <c r="H11" s="1"/>
  <c r="H23" s="1"/>
  <c r="L45" i="113" l="1"/>
  <c r="M45" s="1"/>
  <c r="K44" i="144"/>
  <c r="L58" s="1"/>
  <c r="K58"/>
  <c r="I11" i="27"/>
  <c r="I14"/>
  <c r="I15"/>
  <c r="J19"/>
  <c r="J22"/>
  <c r="K44" i="29"/>
  <c r="L59" s="1"/>
  <c r="K59"/>
  <c r="J11" i="27"/>
  <c r="F45" i="113"/>
  <c r="N43" i="60"/>
  <c r="AS43" s="1"/>
  <c r="L43"/>
  <c r="N35"/>
  <c r="AS35" s="1"/>
  <c r="L35"/>
  <c r="N27"/>
  <c r="AS27" s="1"/>
  <c r="L27"/>
  <c r="N19"/>
  <c r="AS19" s="1"/>
  <c r="L19"/>
  <c r="N11"/>
  <c r="Q11" s="1"/>
  <c r="AC11" s="1"/>
  <c r="L11"/>
  <c r="N36"/>
  <c r="AS36" s="1"/>
  <c r="L36"/>
  <c r="N28"/>
  <c r="AS28" s="1"/>
  <c r="L28"/>
  <c r="N20"/>
  <c r="AS20" s="1"/>
  <c r="L20"/>
  <c r="N12"/>
  <c r="AS12" s="1"/>
  <c r="L12"/>
  <c r="N37"/>
  <c r="AS37" s="1"/>
  <c r="L37"/>
  <c r="N29"/>
  <c r="AS29" s="1"/>
  <c r="L29"/>
  <c r="N21"/>
  <c r="AS21" s="1"/>
  <c r="L21"/>
  <c r="J18" i="27"/>
  <c r="N38" i="60"/>
  <c r="AS38" s="1"/>
  <c r="L38"/>
  <c r="N30"/>
  <c r="AS30" s="1"/>
  <c r="L30"/>
  <c r="N22"/>
  <c r="AS22" s="1"/>
  <c r="L22"/>
  <c r="N14"/>
  <c r="AS14" s="1"/>
  <c r="L14"/>
  <c r="N39"/>
  <c r="AS39" s="1"/>
  <c r="L39"/>
  <c r="N31"/>
  <c r="AS31" s="1"/>
  <c r="L31"/>
  <c r="N23"/>
  <c r="AS23" s="1"/>
  <c r="L23"/>
  <c r="N15"/>
  <c r="AS15" s="1"/>
  <c r="L15"/>
  <c r="J17" i="27"/>
  <c r="N40" i="60"/>
  <c r="AS40" s="1"/>
  <c r="L40"/>
  <c r="N32"/>
  <c r="AS32" s="1"/>
  <c r="L32"/>
  <c r="N24"/>
  <c r="AS24" s="1"/>
  <c r="L24"/>
  <c r="N16"/>
  <c r="AS16" s="1"/>
  <c r="L16"/>
  <c r="I21" i="27"/>
  <c r="AE44" i="47"/>
  <c r="AF44" s="1"/>
  <c r="N41" i="60"/>
  <c r="AS41" s="1"/>
  <c r="L41"/>
  <c r="N33"/>
  <c r="AS33" s="1"/>
  <c r="L33"/>
  <c r="N25"/>
  <c r="AS25" s="1"/>
  <c r="L25"/>
  <c r="N17"/>
  <c r="AS17" s="1"/>
  <c r="L17"/>
  <c r="G23" i="27"/>
  <c r="I13"/>
  <c r="I23" s="1"/>
  <c r="J12"/>
  <c r="J16"/>
  <c r="J20"/>
  <c r="N44" i="47"/>
  <c r="N42" i="60"/>
  <c r="AS42" s="1"/>
  <c r="L42"/>
  <c r="N34"/>
  <c r="AS34" s="1"/>
  <c r="L34"/>
  <c r="N26"/>
  <c r="AS26" s="1"/>
  <c r="L26"/>
  <c r="N18"/>
  <c r="AS18" s="1"/>
  <c r="L18"/>
  <c r="M44" i="47"/>
  <c r="I44" i="60"/>
  <c r="Q11" i="47"/>
  <c r="S11" s="1"/>
  <c r="Q43" i="60"/>
  <c r="Q41"/>
  <c r="AC41" s="1"/>
  <c r="Q40"/>
  <c r="AC40" s="1"/>
  <c r="Q36"/>
  <c r="AC36" s="1"/>
  <c r="Q35"/>
  <c r="AC35" s="1"/>
  <c r="Q34"/>
  <c r="AC34" s="1"/>
  <c r="Q33"/>
  <c r="AC33" s="1"/>
  <c r="Q32"/>
  <c r="AC32" s="1"/>
  <c r="Q31"/>
  <c r="AC31" s="1"/>
  <c r="Q30"/>
  <c r="AC30" s="1"/>
  <c r="Q28"/>
  <c r="AC28" s="1"/>
  <c r="Q27"/>
  <c r="AC27" s="1"/>
  <c r="Q24"/>
  <c r="AC24" s="1"/>
  <c r="Q23"/>
  <c r="AC23" s="1"/>
  <c r="Q22"/>
  <c r="AC22" s="1"/>
  <c r="Q21"/>
  <c r="AC21" s="1"/>
  <c r="Q20"/>
  <c r="AC20" s="1"/>
  <c r="Q19"/>
  <c r="AC19" s="1"/>
  <c r="Q18"/>
  <c r="AC18" s="1"/>
  <c r="Q17"/>
  <c r="AC17" s="1"/>
  <c r="Q15"/>
  <c r="AC15" s="1"/>
  <c r="Q14"/>
  <c r="AC14" s="1"/>
  <c r="J13" i="28"/>
  <c r="I13"/>
  <c r="J15"/>
  <c r="I15"/>
  <c r="J17"/>
  <c r="I17"/>
  <c r="J19"/>
  <c r="I19"/>
  <c r="J21"/>
  <c r="I21"/>
  <c r="J12"/>
  <c r="I12"/>
  <c r="J14"/>
  <c r="I14"/>
  <c r="J16"/>
  <c r="I16"/>
  <c r="J18"/>
  <c r="I18"/>
  <c r="J20"/>
  <c r="I20"/>
  <c r="J22"/>
  <c r="I22"/>
  <c r="H11"/>
  <c r="M58" i="144" l="1"/>
  <c r="M46" i="113"/>
  <c r="N45"/>
  <c r="J23" i="27"/>
  <c r="M59" i="29"/>
  <c r="T24" i="60"/>
  <c r="Z24"/>
  <c r="X24"/>
  <c r="X25"/>
  <c r="Z25"/>
  <c r="T25"/>
  <c r="Z16"/>
  <c r="T16"/>
  <c r="X16"/>
  <c r="T39"/>
  <c r="Z39"/>
  <c r="X39"/>
  <c r="X38"/>
  <c r="T38"/>
  <c r="Z38"/>
  <c r="Q26"/>
  <c r="AC26" s="1"/>
  <c r="Q42"/>
  <c r="AC42" s="1"/>
  <c r="Z43"/>
  <c r="T43"/>
  <c r="X43"/>
  <c r="T18"/>
  <c r="Z18"/>
  <c r="X18"/>
  <c r="T37"/>
  <c r="Z37"/>
  <c r="X37"/>
  <c r="T36"/>
  <c r="Z36"/>
  <c r="X36"/>
  <c r="T35"/>
  <c r="Z35"/>
  <c r="X35"/>
  <c r="Q25"/>
  <c r="AC25" s="1"/>
  <c r="T33"/>
  <c r="Z33"/>
  <c r="X33"/>
  <c r="X40"/>
  <c r="Z40"/>
  <c r="T40"/>
  <c r="X26"/>
  <c r="Z26"/>
  <c r="T26"/>
  <c r="Z11"/>
  <c r="T11"/>
  <c r="X11"/>
  <c r="Z30"/>
  <c r="T30"/>
  <c r="X30"/>
  <c r="T42"/>
  <c r="Z42"/>
  <c r="X42"/>
  <c r="T29"/>
  <c r="Z29"/>
  <c r="X29"/>
  <c r="Z28"/>
  <c r="T28"/>
  <c r="X28"/>
  <c r="T27"/>
  <c r="Z27"/>
  <c r="X27"/>
  <c r="N44"/>
  <c r="Z15"/>
  <c r="T15"/>
  <c r="X15"/>
  <c r="X12"/>
  <c r="Z12"/>
  <c r="T12"/>
  <c r="T31"/>
  <c r="X31"/>
  <c r="Z31"/>
  <c r="X41"/>
  <c r="Z41"/>
  <c r="T41"/>
  <c r="T32"/>
  <c r="Z32"/>
  <c r="X32"/>
  <c r="X23"/>
  <c r="Z23"/>
  <c r="T23"/>
  <c r="Z22"/>
  <c r="X22"/>
  <c r="T22"/>
  <c r="Q38"/>
  <c r="AC38" s="1"/>
  <c r="AA14"/>
  <c r="T14"/>
  <c r="Z14"/>
  <c r="X14"/>
  <c r="X17"/>
  <c r="Z17"/>
  <c r="T17"/>
  <c r="X34"/>
  <c r="Z34"/>
  <c r="T34"/>
  <c r="T21"/>
  <c r="Z21"/>
  <c r="X21"/>
  <c r="X20"/>
  <c r="Z20"/>
  <c r="T20"/>
  <c r="X19"/>
  <c r="Z19"/>
  <c r="T19"/>
  <c r="Q16"/>
  <c r="AC16" s="1"/>
  <c r="Q39"/>
  <c r="AC39" s="1"/>
  <c r="Q12"/>
  <c r="AC12" s="1"/>
  <c r="Q29"/>
  <c r="AC29" s="1"/>
  <c r="Q37"/>
  <c r="AC37" s="1"/>
  <c r="AM44"/>
  <c r="AM45" s="1"/>
  <c r="AS11"/>
  <c r="AS44" s="1"/>
  <c r="Q44" i="47"/>
  <c r="J11" i="28"/>
  <c r="J23" s="1"/>
  <c r="H23"/>
  <c r="I11"/>
  <c r="I23" s="1"/>
  <c r="E44" i="47" l="1"/>
  <c r="D44"/>
  <c r="G43"/>
  <c r="R43" s="1"/>
  <c r="G42"/>
  <c r="R42" s="1"/>
  <c r="G41"/>
  <c r="R41" s="1"/>
  <c r="G40"/>
  <c r="R40" s="1"/>
  <c r="G39"/>
  <c r="R39" s="1"/>
  <c r="G38"/>
  <c r="R38" s="1"/>
  <c r="G37"/>
  <c r="R37" s="1"/>
  <c r="G36"/>
  <c r="R36" s="1"/>
  <c r="G35"/>
  <c r="R35" s="1"/>
  <c r="G34"/>
  <c r="R34" s="1"/>
  <c r="G33"/>
  <c r="R33" s="1"/>
  <c r="G32"/>
  <c r="R32" s="1"/>
  <c r="G31"/>
  <c r="R31" s="1"/>
  <c r="G30"/>
  <c r="R30" s="1"/>
  <c r="G29"/>
  <c r="R29" s="1"/>
  <c r="G28"/>
  <c r="R28" s="1"/>
  <c r="G27"/>
  <c r="R27" s="1"/>
  <c r="G26"/>
  <c r="R26" s="1"/>
  <c r="G25"/>
  <c r="R25" s="1"/>
  <c r="G24"/>
  <c r="R24" s="1"/>
  <c r="G23"/>
  <c r="R23" s="1"/>
  <c r="G22"/>
  <c r="R22" s="1"/>
  <c r="G21"/>
  <c r="R21" s="1"/>
  <c r="G20"/>
  <c r="R20" s="1"/>
  <c r="G19"/>
  <c r="R19" s="1"/>
  <c r="G18"/>
  <c r="R18" s="1"/>
  <c r="G17"/>
  <c r="R17" s="1"/>
  <c r="G16"/>
  <c r="R16" s="1"/>
  <c r="G15"/>
  <c r="R15" s="1"/>
  <c r="G14"/>
  <c r="R14" s="1"/>
  <c r="G13"/>
  <c r="R13" s="1"/>
  <c r="G12"/>
  <c r="R12" s="1"/>
  <c r="E44" i="60"/>
  <c r="D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M12" i="59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11"/>
  <c r="L43" i="58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G43"/>
  <c r="M43" s="1"/>
  <c r="G42"/>
  <c r="M42" s="1"/>
  <c r="G41"/>
  <c r="M41" s="1"/>
  <c r="G40"/>
  <c r="M40" s="1"/>
  <c r="G39"/>
  <c r="M39" s="1"/>
  <c r="G38"/>
  <c r="M38" s="1"/>
  <c r="G37"/>
  <c r="M37" s="1"/>
  <c r="G36"/>
  <c r="M36" s="1"/>
  <c r="G35"/>
  <c r="M35" s="1"/>
  <c r="G34"/>
  <c r="M34" s="1"/>
  <c r="G33"/>
  <c r="M33" s="1"/>
  <c r="G32"/>
  <c r="M32" s="1"/>
  <c r="G31"/>
  <c r="M31" s="1"/>
  <c r="G30"/>
  <c r="M30" s="1"/>
  <c r="G29"/>
  <c r="M29" s="1"/>
  <c r="G28"/>
  <c r="M28" s="1"/>
  <c r="G27"/>
  <c r="M27" s="1"/>
  <c r="G26"/>
  <c r="M26" s="1"/>
  <c r="G25"/>
  <c r="M25" s="1"/>
  <c r="G24"/>
  <c r="M24" s="1"/>
  <c r="G23"/>
  <c r="M23" s="1"/>
  <c r="G22"/>
  <c r="M22" s="1"/>
  <c r="G21"/>
  <c r="M21" s="1"/>
  <c r="G20"/>
  <c r="M20" s="1"/>
  <c r="G19"/>
  <c r="M19" s="1"/>
  <c r="G18"/>
  <c r="M18" s="1"/>
  <c r="G17"/>
  <c r="M17" s="1"/>
  <c r="G16"/>
  <c r="M16" s="1"/>
  <c r="G15"/>
  <c r="M15" s="1"/>
  <c r="G14"/>
  <c r="M14" s="1"/>
  <c r="G13"/>
  <c r="M13" s="1"/>
  <c r="G12"/>
  <c r="M12" s="1"/>
  <c r="G11"/>
  <c r="M11" s="1"/>
  <c r="I45" i="1"/>
  <c r="H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D45"/>
  <c r="C45"/>
  <c r="G44"/>
  <c r="M44" s="1"/>
  <c r="G43"/>
  <c r="M43" s="1"/>
  <c r="G42"/>
  <c r="M42" s="1"/>
  <c r="G41"/>
  <c r="M41" s="1"/>
  <c r="G40"/>
  <c r="M40" s="1"/>
  <c r="G39"/>
  <c r="M39" s="1"/>
  <c r="G38"/>
  <c r="M38" s="1"/>
  <c r="G37"/>
  <c r="M37" s="1"/>
  <c r="G36"/>
  <c r="M36" s="1"/>
  <c r="G35"/>
  <c r="M35" s="1"/>
  <c r="G34"/>
  <c r="M34" s="1"/>
  <c r="G33"/>
  <c r="M33" s="1"/>
  <c r="G32"/>
  <c r="M32" s="1"/>
  <c r="G31"/>
  <c r="M31" s="1"/>
  <c r="G30"/>
  <c r="M30" s="1"/>
  <c r="G29"/>
  <c r="M29" s="1"/>
  <c r="G28"/>
  <c r="M28" s="1"/>
  <c r="G27"/>
  <c r="M27" s="1"/>
  <c r="G26"/>
  <c r="G25"/>
  <c r="M25" s="1"/>
  <c r="G24"/>
  <c r="M24" s="1"/>
  <c r="G23"/>
  <c r="M23" s="1"/>
  <c r="G22"/>
  <c r="M22" s="1"/>
  <c r="G21"/>
  <c r="M21" s="1"/>
  <c r="G20"/>
  <c r="M20" s="1"/>
  <c r="G19"/>
  <c r="M19" s="1"/>
  <c r="G18"/>
  <c r="G17"/>
  <c r="G16"/>
  <c r="M16" s="1"/>
  <c r="G15"/>
  <c r="M15" s="1"/>
  <c r="G14"/>
  <c r="M14" s="1"/>
  <c r="G13"/>
  <c r="M13" s="1"/>
  <c r="G12"/>
  <c r="M12" s="1"/>
  <c r="F41" i="100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AE11" i="60" l="1"/>
  <c r="U11"/>
  <c r="R11"/>
  <c r="U13"/>
  <c r="AE13"/>
  <c r="AE15"/>
  <c r="R15"/>
  <c r="AE17"/>
  <c r="R17"/>
  <c r="AE19"/>
  <c r="R19"/>
  <c r="AE21"/>
  <c r="R21"/>
  <c r="AE23"/>
  <c r="R23"/>
  <c r="AE25"/>
  <c r="R25"/>
  <c r="AE27"/>
  <c r="R27"/>
  <c r="AE29"/>
  <c r="R29"/>
  <c r="AE31"/>
  <c r="R31"/>
  <c r="AE33"/>
  <c r="R33"/>
  <c r="AE35"/>
  <c r="R35"/>
  <c r="AE37"/>
  <c r="R37"/>
  <c r="AE39"/>
  <c r="R39"/>
  <c r="AE41"/>
  <c r="R41"/>
  <c r="AE43"/>
  <c r="R43"/>
  <c r="M18" i="1"/>
  <c r="M26"/>
  <c r="AE12" i="60"/>
  <c r="R12"/>
  <c r="AE14"/>
  <c r="R14"/>
  <c r="AE16"/>
  <c r="R16"/>
  <c r="AE18"/>
  <c r="R18"/>
  <c r="AE20"/>
  <c r="R20"/>
  <c r="AE22"/>
  <c r="R22"/>
  <c r="AE24"/>
  <c r="R24"/>
  <c r="AE26"/>
  <c r="R26"/>
  <c r="AE28"/>
  <c r="R28"/>
  <c r="AE30"/>
  <c r="R30"/>
  <c r="AE32"/>
  <c r="R32"/>
  <c r="AE34"/>
  <c r="R34"/>
  <c r="AE36"/>
  <c r="R36"/>
  <c r="AE38"/>
  <c r="R38"/>
  <c r="AE40"/>
  <c r="R40"/>
  <c r="AE42"/>
  <c r="R42"/>
  <c r="M17" i="1"/>
  <c r="U16" i="60"/>
  <c r="W16"/>
  <c r="U24"/>
  <c r="W24"/>
  <c r="U32"/>
  <c r="W32"/>
  <c r="U40"/>
  <c r="W40"/>
  <c r="Y13" i="47"/>
  <c r="V13"/>
  <c r="AC13"/>
  <c r="Y21"/>
  <c r="AC21"/>
  <c r="AD21" s="1"/>
  <c r="V21"/>
  <c r="Y29"/>
  <c r="AC29"/>
  <c r="AD29" s="1"/>
  <c r="V29"/>
  <c r="Y37"/>
  <c r="V37"/>
  <c r="AC37"/>
  <c r="AD37" s="1"/>
  <c r="L45" i="1"/>
  <c r="U15" i="60"/>
  <c r="W15"/>
  <c r="U23"/>
  <c r="W23"/>
  <c r="U31"/>
  <c r="W31"/>
  <c r="U39"/>
  <c r="W39"/>
  <c r="Y12" i="47"/>
  <c r="AC12"/>
  <c r="V12"/>
  <c r="Y20"/>
  <c r="AC20"/>
  <c r="AD20" s="1"/>
  <c r="V20"/>
  <c r="Y28"/>
  <c r="AC28"/>
  <c r="AD28" s="1"/>
  <c r="V28"/>
  <c r="Y36"/>
  <c r="AC36"/>
  <c r="AD36" s="1"/>
  <c r="V36"/>
  <c r="U14" i="60"/>
  <c r="W14"/>
  <c r="U22"/>
  <c r="W22"/>
  <c r="U30"/>
  <c r="W30"/>
  <c r="U38"/>
  <c r="W38"/>
  <c r="G44" i="47"/>
  <c r="Y11"/>
  <c r="AC11"/>
  <c r="V11"/>
  <c r="Y19"/>
  <c r="V19"/>
  <c r="AC19"/>
  <c r="AD19" s="1"/>
  <c r="Y27"/>
  <c r="AC27"/>
  <c r="AD27" s="1"/>
  <c r="V27"/>
  <c r="Y35"/>
  <c r="AC35"/>
  <c r="AD35" s="1"/>
  <c r="V35"/>
  <c r="Y43"/>
  <c r="AC43"/>
  <c r="AD43" s="1"/>
  <c r="V43"/>
  <c r="L44" i="58"/>
  <c r="U21" i="60"/>
  <c r="W21"/>
  <c r="U29"/>
  <c r="W29"/>
  <c r="U37"/>
  <c r="W37"/>
  <c r="Y18" i="47"/>
  <c r="AC18"/>
  <c r="V18"/>
  <c r="Y26"/>
  <c r="AC26"/>
  <c r="AD26" s="1"/>
  <c r="V26"/>
  <c r="Y34"/>
  <c r="AC34"/>
  <c r="AD34" s="1"/>
  <c r="V34"/>
  <c r="Y42"/>
  <c r="V42"/>
  <c r="AC42"/>
  <c r="AD42" s="1"/>
  <c r="G44" i="58"/>
  <c r="U12" i="60"/>
  <c r="W12"/>
  <c r="U20"/>
  <c r="W20"/>
  <c r="U28"/>
  <c r="W28"/>
  <c r="U36"/>
  <c r="W36"/>
  <c r="Y17" i="47"/>
  <c r="AC17"/>
  <c r="V17"/>
  <c r="Y25"/>
  <c r="AC25"/>
  <c r="AD25" s="1"/>
  <c r="V25"/>
  <c r="Y33"/>
  <c r="V33"/>
  <c r="AC33"/>
  <c r="AD33" s="1"/>
  <c r="Y41"/>
  <c r="V41"/>
  <c r="AC41"/>
  <c r="AD41" s="1"/>
  <c r="W11" i="60"/>
  <c r="U19"/>
  <c r="W19"/>
  <c r="U27"/>
  <c r="W27"/>
  <c r="U35"/>
  <c r="W35"/>
  <c r="W43"/>
  <c r="Y16" i="47"/>
  <c r="AC16"/>
  <c r="V16"/>
  <c r="Y24"/>
  <c r="AC24"/>
  <c r="AD24" s="1"/>
  <c r="V24"/>
  <c r="Y32"/>
  <c r="V32"/>
  <c r="AC32"/>
  <c r="AD32" s="1"/>
  <c r="Y40"/>
  <c r="V40"/>
  <c r="AC40"/>
  <c r="AD40" s="1"/>
  <c r="U18" i="60"/>
  <c r="W18"/>
  <c r="U26"/>
  <c r="W26"/>
  <c r="U34"/>
  <c r="W34"/>
  <c r="U42"/>
  <c r="W42"/>
  <c r="Y15" i="47"/>
  <c r="V15"/>
  <c r="AC15"/>
  <c r="Y23"/>
  <c r="V23"/>
  <c r="AC23"/>
  <c r="AD23" s="1"/>
  <c r="Y31"/>
  <c r="V31"/>
  <c r="AC31"/>
  <c r="AD31" s="1"/>
  <c r="Y39"/>
  <c r="AC39"/>
  <c r="AD39" s="1"/>
  <c r="V39"/>
  <c r="F42" i="100"/>
  <c r="U17" i="60"/>
  <c r="W17"/>
  <c r="U25"/>
  <c r="W25"/>
  <c r="U33"/>
  <c r="W33"/>
  <c r="U41"/>
  <c r="W41"/>
  <c r="Y14" i="47"/>
  <c r="AC14"/>
  <c r="V14"/>
  <c r="Y22"/>
  <c r="V22"/>
  <c r="AC22"/>
  <c r="AD22" s="1"/>
  <c r="Y30"/>
  <c r="V30"/>
  <c r="AC30"/>
  <c r="AD30" s="1"/>
  <c r="Y38"/>
  <c r="AC38"/>
  <c r="AD38" s="1"/>
  <c r="V38"/>
  <c r="G44" i="60"/>
  <c r="G45" i="1"/>
  <c r="M45" s="1"/>
  <c r="Y13" i="60"/>
  <c r="H44"/>
  <c r="M44" s="1"/>
  <c r="M13"/>
  <c r="Q13" s="1"/>
  <c r="L13"/>
  <c r="M44" i="58" l="1"/>
  <c r="T13" i="60"/>
  <c r="R13"/>
  <c r="AE44"/>
  <c r="O45" i="1"/>
  <c r="Q44" i="60"/>
  <c r="AC13"/>
  <c r="V44" i="47"/>
  <c r="AC44"/>
  <c r="AD44" s="1"/>
  <c r="Z13" i="60"/>
  <c r="W13"/>
  <c r="L44"/>
  <c r="W44" s="1"/>
  <c r="X13"/>
  <c r="T44" l="1"/>
  <c r="X44"/>
</calcChain>
</file>

<file path=xl/sharedStrings.xml><?xml version="1.0" encoding="utf-8"?>
<sst xmlns="http://schemas.openxmlformats.org/spreadsheetml/2006/main" count="4382" uniqueCount="1073">
  <si>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</si>
  <si>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</si>
  <si>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</si>
  <si>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</si>
  <si>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</si>
  <si>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</si>
  <si>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</si>
  <si>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</si>
  <si>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</si>
  <si>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</si>
  <si>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</si>
  <si>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</si>
  <si>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</si>
  <si>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</si>
  <si>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</si>
  <si>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</si>
  <si>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</si>
  <si>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</si>
  <si>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</si>
  <si>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</si>
  <si>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</si>
  <si>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</si>
  <si>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</si>
  <si>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>Date:</t>
  </si>
  <si>
    <t xml:space="preserve">          Seal:</t>
  </si>
  <si>
    <t>[Rs. in lakh]</t>
  </si>
  <si>
    <t>Sl. No.</t>
  </si>
  <si>
    <t>Primary</t>
  </si>
  <si>
    <t>Upper Primary</t>
  </si>
  <si>
    <r>
      <t xml:space="preserve">State/UT: </t>
    </r>
    <r>
      <rPr>
        <b/>
        <u/>
        <sz val="10"/>
        <rFont val="Arial"/>
        <family val="2"/>
      </rPr>
      <t>____________________</t>
    </r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</si>
  <si>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</si>
  <si>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</si>
  <si>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</si>
  <si>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</si>
  <si>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</si>
  <si>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</si>
  <si>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</si>
  <si>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</si>
  <si>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</si>
  <si>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</si>
  <si>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</si>
  <si>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</si>
  <si>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</si>
  <si>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</si>
  <si>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</si>
  <si>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</si>
  <si>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</si>
  <si>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</si>
  <si>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</si>
  <si>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</si>
  <si>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</si>
  <si>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</si>
  <si>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</si>
  <si>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</si>
  <si>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</si>
  <si>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</si>
  <si>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</si>
  <si>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</si>
  <si>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</si>
  <si>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</si>
  <si>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</si>
  <si>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</si>
  <si>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</si>
  <si>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</si>
  <si>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</si>
  <si>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</si>
  <si>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</si>
  <si>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</si>
  <si>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</si>
  <si>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</si>
  <si>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</si>
  <si>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</si>
  <si>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</si>
  <si>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</si>
  <si>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</si>
  <si>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</si>
  <si>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</si>
  <si>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</si>
  <si>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</si>
  <si>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</si>
  <si>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</si>
  <si>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</si>
  <si>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</si>
  <si>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</si>
  <si>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</si>
  <si>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</si>
  <si>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</si>
  <si>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</si>
  <si>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</si>
  <si>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</si>
  <si>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</si>
  <si>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</si>
  <si>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</si>
  <si>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</si>
  <si>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</si>
  <si>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</si>
  <si>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</si>
  <si>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</si>
  <si>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</si>
  <si>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</si>
  <si>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</si>
  <si>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</si>
  <si>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</si>
  <si>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</si>
  <si>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</si>
  <si>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</si>
  <si>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</si>
  <si>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</si>
  <si>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</si>
  <si>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</si>
  <si>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</si>
  <si>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</si>
  <si>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</si>
  <si>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</si>
  <si>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</si>
  <si>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</si>
  <si>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</si>
  <si>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</si>
  <si>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</si>
  <si>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</si>
  <si>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</si>
  <si>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</si>
  <si>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</si>
  <si>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</si>
  <si>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</si>
  <si>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</si>
  <si>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</si>
  <si>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</si>
  <si>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</si>
  <si>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</si>
  <si>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</si>
  <si>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</si>
  <si>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</si>
  <si>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</si>
  <si>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</si>
  <si>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</si>
  <si>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</si>
  <si>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</si>
  <si>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</si>
  <si>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</si>
  <si>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</si>
  <si>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</si>
  <si>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</si>
  <si>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</si>
  <si>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</si>
  <si>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</si>
  <si>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</si>
  <si>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</si>
  <si>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</si>
  <si>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</si>
  <si>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</si>
  <si>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</si>
  <si>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</si>
  <si>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</si>
  <si>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</si>
  <si>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</si>
  <si>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</si>
  <si>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</si>
  <si>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</si>
  <si>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</si>
  <si>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</si>
  <si>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</si>
  <si>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</si>
  <si>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</si>
  <si>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</si>
  <si>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</si>
  <si>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</si>
  <si>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</si>
  <si>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</si>
  <si>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</si>
  <si>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</si>
  <si>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</si>
  <si>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</si>
  <si>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</si>
  <si>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</si>
  <si>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</si>
  <si>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</si>
  <si>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</si>
  <si>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</si>
  <si>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</si>
  <si>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</si>
  <si>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</si>
  <si>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</si>
  <si>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</si>
  <si>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</si>
  <si>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</si>
  <si>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</si>
  <si>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</si>
  <si>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</si>
  <si>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</si>
  <si>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</si>
  <si>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</si>
  <si>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</si>
  <si>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</si>
  <si>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</si>
  <si>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</si>
  <si>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</si>
  <si>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</si>
  <si>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</si>
  <si>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</si>
  <si>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</si>
  <si>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</si>
  <si>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</si>
  <si>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</si>
  <si>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</si>
  <si>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</si>
  <si>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</si>
  <si>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</si>
  <si>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</si>
  <si>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</si>
  <si>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</si>
  <si>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STATE/UT: _________________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</si>
  <si>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</si>
  <si>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</si>
  <si>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</si>
  <si>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</si>
  <si>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</si>
  <si>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</si>
  <si>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</si>
  <si>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</si>
  <si>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</si>
  <si>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</si>
  <si>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</si>
  <si>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</si>
  <si>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</si>
  <si>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</si>
  <si>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</si>
  <si>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</si>
  <si>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</si>
  <si>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</si>
  <si>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</si>
  <si>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</si>
  <si>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</si>
  <si>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</si>
  <si>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</si>
  <si>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</si>
  <si>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</si>
  <si>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</si>
  <si>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</si>
  <si>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</si>
  <si>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</si>
  <si>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</si>
  <si>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</si>
  <si>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</si>
  <si>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</si>
  <si>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</si>
  <si>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</si>
  <si>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</si>
  <si>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</si>
  <si>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</si>
  <si>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</si>
  <si>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</si>
  <si>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</si>
  <si>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</si>
  <si>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</si>
  <si>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</si>
  <si>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</si>
  <si>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</si>
  <si>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</si>
  <si>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</si>
  <si>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</si>
  <si>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</si>
  <si>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</si>
  <si>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</si>
  <si>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</si>
  <si>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</si>
  <si>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</si>
  <si>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</si>
  <si>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</si>
  <si>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</si>
  <si>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</si>
  <si>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</si>
  <si>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</si>
  <si>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</si>
  <si>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</si>
  <si>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</si>
  <si>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</si>
  <si>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</si>
  <si>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</si>
  <si>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</si>
  <si>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</si>
  <si>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</si>
  <si>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</si>
  <si>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</si>
  <si>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</si>
  <si>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</si>
  <si>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</si>
  <si>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</si>
  <si>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</si>
  <si>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</si>
  <si>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</si>
  <si>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</si>
  <si>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</si>
  <si>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</si>
  <si>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</si>
  <si>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</si>
  <si>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</si>
  <si>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</si>
  <si>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</si>
  <si>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</si>
  <si>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</si>
  <si>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</si>
  <si>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</si>
  <si>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</si>
  <si>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</si>
  <si>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</si>
  <si>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</si>
  <si>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</si>
  <si>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</si>
  <si>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</si>
  <si>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</si>
  <si>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</si>
  <si>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</si>
  <si>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</si>
  <si>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</si>
  <si>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</si>
  <si>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</si>
  <si>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</si>
  <si>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</si>
  <si>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</si>
  <si>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</si>
  <si>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</si>
  <si>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</si>
  <si>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</si>
  <si>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</si>
  <si>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</si>
  <si>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</si>
  <si>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</si>
  <si>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</si>
  <si>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</si>
  <si>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</si>
  <si>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</si>
  <si>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</si>
  <si>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</si>
  <si>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</si>
  <si>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</si>
  <si>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</si>
  <si>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</si>
  <si>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</si>
  <si>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</si>
  <si>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</si>
  <si>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</si>
  <si>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</si>
  <si>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</si>
  <si>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</si>
  <si>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</si>
  <si>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</si>
  <si>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</si>
  <si>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</si>
  <si>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</si>
  <si>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</si>
  <si>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</si>
  <si>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</si>
  <si>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</si>
  <si>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</si>
  <si>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</si>
  <si>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</si>
  <si>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</si>
  <si>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</si>
  <si>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</si>
  <si>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</si>
  <si>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</si>
  <si>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</si>
  <si>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</si>
  <si>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</si>
  <si>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</si>
  <si>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</si>
  <si>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</si>
  <si>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</si>
  <si>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</si>
  <si>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</si>
  <si>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</si>
  <si>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</si>
  <si>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</si>
  <si>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</si>
  <si>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</si>
  <si>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</si>
  <si>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</si>
  <si>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</si>
  <si>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</si>
  <si>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</si>
  <si>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</si>
  <si>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</si>
  <si>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</si>
  <si>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</si>
  <si>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</si>
  <si>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</si>
  <si>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</si>
  <si>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</si>
  <si>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</si>
  <si>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</si>
  <si>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</si>
  <si>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</si>
  <si>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</si>
  <si>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</si>
  <si>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</si>
  <si>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</si>
  <si>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</si>
  <si>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</si>
  <si>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</si>
  <si>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</si>
  <si>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</si>
  <si>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</si>
  <si>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</si>
  <si>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</si>
  <si>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</si>
  <si>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</si>
  <si>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</si>
  <si>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</si>
  <si>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</si>
  <si>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</si>
  <si>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</si>
  <si>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</si>
  <si>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</si>
  <si>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</si>
  <si>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</si>
  <si>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</si>
  <si>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</si>
  <si>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</si>
  <si>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</si>
  <si>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</si>
  <si>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</si>
  <si>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</si>
  <si>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</si>
  <si>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</si>
  <si>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</si>
  <si>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</si>
  <si>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</si>
  <si>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</si>
  <si>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</si>
  <si>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</si>
  <si>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</si>
  <si>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</si>
  <si>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</si>
  <si>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</si>
  <si>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</si>
  <si>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</si>
  <si>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</si>
  <si>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</si>
  <si>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</si>
  <si>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</si>
  <si>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</si>
  <si>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</si>
  <si>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</si>
  <si>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</si>
  <si>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</si>
  <si>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</si>
  <si>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</si>
  <si>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</si>
  <si>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</si>
  <si>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</si>
  <si>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</si>
  <si>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</si>
  <si>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</si>
  <si>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</si>
  <si>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</si>
  <si>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</si>
  <si>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</si>
  <si>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</si>
  <si>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</si>
  <si>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</si>
  <si>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</si>
  <si>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</si>
  <si>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</si>
  <si>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</si>
  <si>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</si>
  <si>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</si>
  <si>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</si>
  <si>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</si>
  <si>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</si>
  <si>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</si>
  <si>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</si>
  <si>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</si>
  <si>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</si>
  <si>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</si>
  <si>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</si>
  <si>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</si>
  <si>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</si>
  <si>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</si>
  <si>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</si>
  <si>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</si>
  <si>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</si>
  <si>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</si>
  <si>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</si>
  <si>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</si>
  <si>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</si>
  <si>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</si>
  <si>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</si>
  <si>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</si>
  <si>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</si>
  <si>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</si>
  <si>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</si>
  <si>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</si>
  <si>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</si>
  <si>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</si>
  <si>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</si>
  <si>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</si>
  <si>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</si>
  <si>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</si>
  <si>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</si>
  <si>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</si>
  <si>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</si>
  <si>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</si>
  <si>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</si>
  <si>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</si>
  <si>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</si>
  <si>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</si>
  <si>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</si>
  <si>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</si>
  <si>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</si>
  <si>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</si>
  <si>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</si>
  <si>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</si>
  <si>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</si>
  <si>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</si>
  <si>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</si>
  <si>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</si>
  <si>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</si>
  <si>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</si>
  <si>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</si>
  <si>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</si>
  <si>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</si>
  <si>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</si>
  <si>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</si>
  <si>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</si>
  <si>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</si>
  <si>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</si>
  <si>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</si>
  <si>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</si>
  <si>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</si>
  <si>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</si>
  <si>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</si>
  <si>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</si>
  <si>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</si>
  <si>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</si>
  <si>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</si>
  <si>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</si>
  <si>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</si>
  <si>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</si>
  <si>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</si>
  <si>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</si>
  <si>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</si>
  <si>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</si>
  <si>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</si>
  <si>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</si>
  <si>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</si>
  <si>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</si>
  <si>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</si>
  <si>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</si>
  <si>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</si>
  <si>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</si>
  <si>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</si>
  <si>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</si>
  <si>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</si>
  <si>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</si>
  <si>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</si>
  <si>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</si>
  <si>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</si>
  <si>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</si>
  <si>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</si>
  <si>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</si>
  <si>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</si>
  <si>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</si>
  <si>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</si>
  <si>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</si>
  <si>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</si>
  <si>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</si>
  <si>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</si>
  <si>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</si>
  <si>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</si>
  <si>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</si>
  <si>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</si>
  <si>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</si>
  <si>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</si>
  <si>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</si>
  <si>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</si>
  <si>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</si>
  <si>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</si>
  <si>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</si>
  <si>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</si>
  <si>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</si>
  <si>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</si>
  <si>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</si>
  <si>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</si>
  <si>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</si>
  <si>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</si>
  <si>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</si>
  <si>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</si>
  <si>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</si>
  <si>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</si>
  <si>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</si>
  <si>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</si>
  <si>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</si>
  <si>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</si>
  <si>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</si>
  <si>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</si>
  <si>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</si>
  <si>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</si>
  <si>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</si>
  <si>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</si>
  <si>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</si>
  <si>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</si>
  <si>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</si>
  <si>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</si>
  <si>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</si>
  <si>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</si>
  <si>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</si>
  <si>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</si>
  <si>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</si>
  <si>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</si>
  <si>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</si>
  <si>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</si>
  <si>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</si>
  <si>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</si>
  <si>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</si>
  <si>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</si>
  <si>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</si>
  <si>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</si>
  <si>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</si>
  <si>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</si>
  <si>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</si>
  <si>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</si>
  <si>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</si>
  <si>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</si>
  <si>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</si>
  <si>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</si>
  <si>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</si>
  <si>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</si>
  <si>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</si>
  <si>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</si>
  <si>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</si>
  <si>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</si>
  <si>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</si>
  <si>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</si>
  <si>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</si>
  <si>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</si>
  <si>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</si>
  <si>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</si>
  <si>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</si>
  <si>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</si>
  <si>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</si>
  <si>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</si>
  <si>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</si>
  <si>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</si>
  <si>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</si>
  <si>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</si>
  <si>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</si>
  <si>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</si>
  <si>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</si>
  <si>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</si>
  <si>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</si>
  <si>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</si>
  <si>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</si>
  <si>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</si>
  <si>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</si>
  <si>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</si>
  <si>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</si>
  <si>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</si>
  <si>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</si>
  <si>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</si>
  <si>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</si>
  <si>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</si>
  <si>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</si>
  <si>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</si>
  <si>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</si>
  <si>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</si>
  <si>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</si>
  <si>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</si>
  <si>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</si>
  <si>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</si>
  <si>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</si>
  <si>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</si>
  <si>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</si>
  <si>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</si>
  <si>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</si>
  <si>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</si>
  <si>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</si>
  <si>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</si>
  <si>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</si>
  <si>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</si>
  <si>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</si>
  <si>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</si>
  <si>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</si>
  <si>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</si>
  <si>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</si>
  <si>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</si>
  <si>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</si>
  <si>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</si>
  <si>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</si>
  <si>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</si>
  <si>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</si>
  <si>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</si>
  <si>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</si>
  <si>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</si>
  <si>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Number of School Working Days (Primary,Classes I-V) for 2019-20</t>
  </si>
  <si>
    <t>Number of School Working Days (Upper Primary,Classes VI-VIII) for 2019-20</t>
  </si>
  <si>
    <t>Proposal for coverage of children and working days  for 2019-20  (Primary Classes, I-V)</t>
  </si>
  <si>
    <t>Proposal for coverage of children and working days  for 2019-20  (Upper Primary,Classes VI-VIII)</t>
  </si>
  <si>
    <t>Proposal for coverage of children for NCLP Schools during 2019-20</t>
  </si>
  <si>
    <t>Proposal for coverage of children and working days  for Primary (Classes I-V) in Drought affected areas  during 2019-20</t>
  </si>
  <si>
    <t>Proposal for coverage of children and working days  for  Upper Primary (Classes VI-VIII)in Drought affected areas  during 2019-20</t>
  </si>
  <si>
    <t>Requirement of kitchen-cum-stores in the Primary and Upper Primary schools for the year 2019-20</t>
  </si>
  <si>
    <t>Requirement of kitchen cum stores as per Plinth Area Norm in the Primary and Upper Primary schools for the year 2019-20</t>
  </si>
  <si>
    <t>Requirement of Cook cum Helpers for 2019-20</t>
  </si>
  <si>
    <t>Budget Provision for the Year 2019-20</t>
  </si>
  <si>
    <t>Annual Work Plan and Budget 2019-20</t>
  </si>
  <si>
    <t>2019-20</t>
  </si>
  <si>
    <t>No. of institutions where setting up of kitchen garden is proposed during 2019-20</t>
  </si>
  <si>
    <t>Annual Work Plan and Budget  2019-20</t>
  </si>
  <si>
    <t>Annual Work Plan &amp; Budget 2019-20</t>
  </si>
  <si>
    <t>Proposals for 2019-20</t>
  </si>
  <si>
    <t>Table: AT-26 : Number of School Working Days (Primary,Classes I-V) for 2019-20</t>
  </si>
  <si>
    <t>Table: AT-26A : Number of School Working Days (Upper Primary,Classes VI-VIII) for 2019-20</t>
  </si>
  <si>
    <t>Table: AT-27: Proposal for coverage of children and working days  for 2019-20 (Primary Classes, I-V)</t>
  </si>
  <si>
    <t>Table: AT-27 A: Proposal for coverage of children and working days  for 2019-20 (Upper Primary,Classes VI-VIII)</t>
  </si>
  <si>
    <t>Table: AT-27 B: Proposal for coverage of children for NCLP Schools during 2019-20</t>
  </si>
  <si>
    <t>Table: AT-27C : Proposal for coverage of children and working days  for Primary (Classes I-V) in Drought affected areas  during 2019-20</t>
  </si>
  <si>
    <t>Table: AT-27 D : Proposal for coverage of children and working days  for Upper Primary (Classes VI-VIII) in Drought affected areas  during 2019-20</t>
  </si>
  <si>
    <t>Table: AT-28 A: Requirement of kitchen cum stores as per Plinth Area Norm in the Primary and Upper Primary schools for the year 2019-20</t>
  </si>
  <si>
    <t>Table: AT-31 : Budget Provision for the Year 2019-20</t>
  </si>
  <si>
    <t>GENERAL INFORMATION for 2018-19</t>
  </si>
  <si>
    <t>Details of  Provisions  in the State Budget 2018-19</t>
  </si>
  <si>
    <t>No. of Institutions in the State vis a vis Institutions serving MDM during 2018-19</t>
  </si>
  <si>
    <t>No. of Institutions covered  (Primary, Classes I-V)  during 2018-19</t>
  </si>
  <si>
    <t>No. of Institutions covered (Upper Primary with Primary, Classes I-VIII) during 2018-19</t>
  </si>
  <si>
    <t>No. of Institutions covered (Upper Primary without Primary, Classes VI-VIII) during 2018-19</t>
  </si>
  <si>
    <t>Enrolment vis-à-vis availed for MDM  (Primary,Classes I- V) during 2018-19</t>
  </si>
  <si>
    <t>PAB-MDM Approval vs. PERFORMANCE (Primary, Classes I - V) during 2018-19</t>
  </si>
  <si>
    <t>PAB-MDM Approval vs. PERFORMANCE (Upper Primary, Classes VI to VIII) during 2018-19</t>
  </si>
  <si>
    <t>PAB-MDM Approval vs. PERFORMANCE NCLP Schools during 2018-19</t>
  </si>
  <si>
    <t>PAB-MDM Approval vs. PERFORMANCE (Primary, Classes I - V) during 2018-19 - Drought</t>
  </si>
  <si>
    <t>PAB-MDM Approval vs. PERFORMANCE (Upper Primary, Classes VI to VIII) during 2018-19 - Drought</t>
  </si>
  <si>
    <t>Utilisation of foodgrains  (Primary, Classes I-V) during 2018-19</t>
  </si>
  <si>
    <t>Utilisation of foodgrains  (Upper Primary, Classes VI-VIII) during 2018-19</t>
  </si>
  <si>
    <t>PAYMENT OF COST OF FOOD GRAINS TO FCI (Primary and Upper Primary Classes I-VIII) during 2018-19</t>
  </si>
  <si>
    <t>Utilisation of foodgrains (Coarse Grain) during 2018-19</t>
  </si>
  <si>
    <t>Utilisation of Cooking Cost (Primary, Classes I-V) during 2018-19</t>
  </si>
  <si>
    <t>Utilisation of Central Assitance towards Transportation Assistance (Primary &amp; Upper Primary,Classes I-VIII) during 2018-19</t>
  </si>
  <si>
    <t>Utilisation of Central Assistance towards MME  (Primary &amp; Upper Primary,Classes I-VIII) during 2018-19</t>
  </si>
  <si>
    <t>Details of Meetings at district level during 2018-19</t>
  </si>
  <si>
    <t>Coverage under Rashtriya Bal Swasthya Karykram (School Health Programme) - 2018-19</t>
  </si>
  <si>
    <t>Annual and Monthly data entry status in MDM-MIS during 2018-19</t>
  </si>
  <si>
    <t>Implementation of Automated Monitoring System  during 2018-19</t>
  </si>
  <si>
    <t>PAB-MDM Approval vs. PERFORMANCE (Primary Classes I to V) during 2018-19 - Drought</t>
  </si>
  <si>
    <t>Table: AT-1: GENERAL INFORMATION for 2018-19</t>
  </si>
  <si>
    <t>Table: AT-2 :  Details of  Provisions  in the State Budget 2018-19</t>
  </si>
  <si>
    <t>Table AT-3: No. of Institutions in the State vis a vis Institutions serving MDM during 2018-19</t>
  </si>
  <si>
    <t>Table: AT-3A: No. of Institutions covered  (Primary, Classes I-V)  during 2018-19</t>
  </si>
  <si>
    <t>Table: AT-3B: No. of Institutions covered (Upper Primary with Primary, Classes I-VIII) during 2018-19</t>
  </si>
  <si>
    <t>Table: AT-3C: No. of Institutions covered (Upper Primary without Primary, Classes VI-VIII) during 2018-19</t>
  </si>
  <si>
    <t>Table: AT-4: Enrolment vis-à-vis availed for MDM  (Primary,Classes I- V) during 2018-19</t>
  </si>
  <si>
    <t>Table: AT-5:  PAB-MDM Approval vs. PERFORMANCE (Primary, Classes I - V) during 2018-19</t>
  </si>
  <si>
    <t>MDM-PAB Approval for 2018-19</t>
  </si>
  <si>
    <t>Table: AT-5 A:  PAB-MDM Approval vs. PERFORMANCE (Upper Primary, Classes VI to VIII) during 2018-19</t>
  </si>
  <si>
    <t>Table: AT-5 B:  PAB-MDM Approval vs. PERFORMANCE - STC (NCLP Schools) during 2018-19</t>
  </si>
  <si>
    <t>MDM-PAB Approval for2018-19</t>
  </si>
  <si>
    <t>Table: AT-5 C:  PAB-MDM Approval vs. PERFORMANCE (Primary, Classes I - V) during 2018-19 - Drought</t>
  </si>
  <si>
    <t>Table: AT-5 D:  PAB-MDM Approval vs. PERFORMANCE (Upper Primary, Classes VI to VIII) during 2018-19 - Drought</t>
  </si>
  <si>
    <t>Table: AT-6: Utilisation of foodgrains  (Primary, Classes I-V) during 2018-19</t>
  </si>
  <si>
    <t>Gross Allocation for the  FY 2018-19</t>
  </si>
  <si>
    <t>Table: AT-6A: Utilisation of foodgrains  (Upper Primary, Classes VI-VIII) during 2018-19</t>
  </si>
  <si>
    <t>Allocation for cost of foodgrains for 2018-19</t>
  </si>
  <si>
    <t>Table: AT-6C: Utilisation of foodgrains (Coarse Grain) during 2018-19</t>
  </si>
  <si>
    <t xml:space="preserve">Allocation for 2018-19                                </t>
  </si>
  <si>
    <t>Allocation for 2018-19</t>
  </si>
  <si>
    <t>Allocation for FY 2018-19</t>
  </si>
  <si>
    <t>Table: AT-9 : Utilisation of Central Assitance towards Transportation Assistance (Primary &amp; Upper Primary,Classes I-VIII) during 2018-19</t>
  </si>
  <si>
    <t>Table: AT-10 :  Utilisation of Central Assistance towards MME  (Primary &amp; Upper Primary,Classes I-VIII) during 2018-19</t>
  </si>
  <si>
    <t>Allocation for  2018-19</t>
  </si>
  <si>
    <t>Table: AT-10 A : Details of Meetings at district level during 2018-19</t>
  </si>
  <si>
    <t xml:space="preserve">Table AT - 10 B : Details of Social Audit during 2018-19 </t>
  </si>
  <si>
    <t>*Total sanctioned during 2006-07  to 2018-19</t>
  </si>
  <si>
    <t>*Total sanction during 2006-07 to 2018-19</t>
  </si>
  <si>
    <t>*Total Sanction during 2012-13 to 2018-19</t>
  </si>
  <si>
    <t>Table: AT-17 : Coverage under Rashtriya Bal Swasthya Karykram (School Health Programme) - 2018-19</t>
  </si>
  <si>
    <t>Table AT - 23 Annual and Monthly data entry status in MDM-MIS during 2018-19</t>
  </si>
  <si>
    <t>Table AT - 23 A- Implementation of Automated Monitoring System  during 2018-19</t>
  </si>
  <si>
    <t>Kitchen-cum-store sanctioned during 2006-07 to 2018-19</t>
  </si>
  <si>
    <t>Engaged in 2018-19</t>
  </si>
  <si>
    <t>Table: AT-32:  PAB-MDM Approval vs. PERFORMANCE (Primary Classes I to V) during 2018-19 - Drought</t>
  </si>
  <si>
    <t>Table: AT-32 A:  PAB-MDM Approval vs. PERFORMANCE (Upper Primary, Classes VI to VIII) during 2018-19 - Drought</t>
  </si>
  <si>
    <t>(For the Period 01.04.18 to 31.03.19)</t>
  </si>
  <si>
    <t>During 01.04.18 to 31.03.19</t>
  </si>
  <si>
    <t xml:space="preserve">No. of working days (During 01.04.18 to 31.03.19)                  </t>
  </si>
  <si>
    <t>During 01.04.18 to 31.03.2019</t>
  </si>
  <si>
    <t>(For the Period 01.4.18 to 31.03.19)</t>
  </si>
  <si>
    <t>(As on 31st March, 2019)</t>
  </si>
  <si>
    <t>As on 31st March, 2019</t>
  </si>
  <si>
    <t>Budget Released till 31.03.2019</t>
  </si>
  <si>
    <t>Enrolment (As on 30.09.2018)</t>
  </si>
  <si>
    <t>TotalEnrolment (As on 30.09.2018)</t>
  </si>
  <si>
    <t>Opening Balance as on 01.4.18</t>
  </si>
  <si>
    <t>Opening Balance as on 01.04.18</t>
  </si>
  <si>
    <t xml:space="preserve">Total Unspent Balance as on 31.03.2019   </t>
  </si>
  <si>
    <t xml:space="preserve">Opening Balance as on 01.04.2018                                   </t>
  </si>
  <si>
    <t xml:space="preserve">Total Unspent Balance as on 31.03.2019                                            </t>
  </si>
  <si>
    <t>Opening Balance as on 01.04.2018</t>
  </si>
  <si>
    <t>Unspent Balance as on 31.03.2019</t>
  </si>
  <si>
    <t xml:space="preserve">Unspent Balance as on 31.03.2019  [Col. 4+ Col.5+Col.6 -Col.8]  </t>
  </si>
  <si>
    <t>Unspent balance as on 31.03.2019               [Col: (4+5)-7]</t>
  </si>
  <si>
    <t>Opening balance as on 01.04.18</t>
  </si>
  <si>
    <t>Apr, 2018</t>
  </si>
  <si>
    <t>Dec, 2018</t>
  </si>
  <si>
    <t>Jan, 2019</t>
  </si>
  <si>
    <t>Feb, 2019</t>
  </si>
  <si>
    <t>Mar, 2019</t>
  </si>
  <si>
    <t>April,19</t>
  </si>
  <si>
    <t>May,19</t>
  </si>
  <si>
    <t>June,19</t>
  </si>
  <si>
    <t>July,19</t>
  </si>
  <si>
    <t>August,19</t>
  </si>
  <si>
    <t>September,19</t>
  </si>
  <si>
    <t>October,19</t>
  </si>
  <si>
    <t>November,19</t>
  </si>
  <si>
    <t>December,19</t>
  </si>
  <si>
    <t>January,20</t>
  </si>
  <si>
    <t>February,20</t>
  </si>
  <si>
    <t>March,20</t>
  </si>
  <si>
    <t>January, 20</t>
  </si>
  <si>
    <t>February, 20</t>
  </si>
  <si>
    <t>March, 20</t>
  </si>
  <si>
    <t>k</t>
  </si>
  <si>
    <t>Table: AT-29 : Requirement of Kitchen Devices (new) during 2019-20 in Primary &amp; Upper Primary Schools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</si>
  <si>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</si>
  <si>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</si>
  <si>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</si>
  <si>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</si>
  <si>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</si>
  <si>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</si>
  <si>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</si>
  <si>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 A : Replacement of Kitchen Devices during 2019-20 in Primary &amp; Upper Primary Schools</t>
  </si>
  <si>
    <t>Table: AT-29A</t>
  </si>
  <si>
    <t>State share</t>
  </si>
  <si>
    <t>Requirement of funds (Rs in lakh)</t>
  </si>
  <si>
    <t>Table: AT-28 B</t>
  </si>
  <si>
    <t>AT - 28 B</t>
  </si>
  <si>
    <t>Replacement of Kitchen Devices during 2019-20 in Primary &amp; Upper Primary Schools</t>
  </si>
  <si>
    <t>Table: AT-6B: PAYMENT OF COST OF FOOD GRAINS TO FCI (Primary and Upper Primary Classes I-VIII) during 2018-19</t>
  </si>
  <si>
    <t>Table AT 21 :Details of engagement and apportionment of honorarium to cook cum helpers (CCH) between schools and centralized kitchen</t>
  </si>
  <si>
    <t>Table: AT 30 :  Requirement of Cook cum Helpers for 2019-20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</si>
  <si>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</si>
  <si>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</si>
  <si>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</si>
  <si>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</si>
  <si>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Requirement of Kitchen Devices (new) during 2019-20 in Primary &amp; Upper Primary Schools</t>
  </si>
  <si>
    <t>Repair of kitchen-cum-stores</t>
  </si>
  <si>
    <t>Releasing of Funds from State to Directorate / Authority / District / Block / School level during 2018-19</t>
  </si>
  <si>
    <t>Table: AT-2A : Releasing of Funds from State to Directorate / Authority / District / Block / School level during 2018-19</t>
  </si>
  <si>
    <t>Table: AT-4A: Enrolment vis-a-vis availed for MDM  (Upper Primary, Classes VI - VIII) during 2018-19</t>
  </si>
  <si>
    <t>Enrolment vis-a-vis availed for MDM  (Upper Primary, Classes VI - VIII) during 2018-19</t>
  </si>
  <si>
    <t>Utilisation of Cooking cost (Upper Primary Classes, VI-VIII) during 2018-19</t>
  </si>
  <si>
    <t>Table: AT-7A: Utilisation of Cooking cost (Upper Primary Classes, VI-VIII) during 2018-19</t>
  </si>
  <si>
    <t>Table: AT-7: Utilisation of Cooking Cost (Primary Classes I-V) during 2018-19</t>
  </si>
  <si>
    <t>Table AT - 8 :Utilisation of funds towards honorarium to Cook-cum-Helpers (Primary classes I-V) during 2018-19</t>
  </si>
  <si>
    <t>Table AT - 8A : Utilisation of funds towards honorarium to Cook-cum-Helpers (Upper Primary classes VI-VIII) during 2018-19</t>
  </si>
  <si>
    <t>Requirement of funds for Transportation Assistance</t>
  </si>
  <si>
    <t>Seal</t>
  </si>
  <si>
    <t>Feb</t>
  </si>
  <si>
    <t>Mar</t>
  </si>
  <si>
    <t>Table: AT-28: Requirement of kitchen-cum-stores in Primary and Upper Primary schools for the year 2019-20</t>
  </si>
  <si>
    <t>No. of Kitchens constructed prior to FY 2008-09</t>
  </si>
  <si>
    <t>No. of Kitchens constructed prior to 2008-09 and require repairs</t>
  </si>
  <si>
    <t>Utilisation of funds towards honorarium to Cook-cum-Helpers (Primary classes I-V) during 2018-19</t>
  </si>
  <si>
    <t>Utilisation of funds towards honorarium to Cook-cum-Helpers (Upper Primary classes VI-VIII) during 2018-19</t>
  </si>
  <si>
    <t>Flexi fund @ 5% for new interventions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</si>
  <si>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</si>
  <si>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</si>
  <si>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</si>
  <si>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</si>
  <si>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</si>
  <si>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</si>
  <si>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</si>
  <si>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</si>
  <si>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</si>
  <si>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</si>
  <si>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</si>
  <si>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</si>
  <si>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</si>
  <si>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</si>
  <si>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</si>
  <si>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</si>
  <si>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</si>
  <si>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</si>
  <si>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</si>
  <si>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</si>
  <si>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</si>
  <si>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</si>
  <si>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</si>
  <si>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</si>
  <si>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</si>
  <si>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</si>
  <si>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</si>
  <si>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</si>
  <si>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</si>
  <si>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</si>
  <si>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</si>
  <si>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</si>
  <si>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</si>
  <si>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Chittorgarh</t>
  </si>
  <si>
    <t>Churu</t>
  </si>
  <si>
    <t>Dausa</t>
  </si>
  <si>
    <t>Dholpur</t>
  </si>
  <si>
    <t>Dungarpur</t>
  </si>
  <si>
    <t>Ganganagar</t>
  </si>
  <si>
    <t>Hanumangarh</t>
  </si>
  <si>
    <t>Jaipur</t>
  </si>
  <si>
    <t>Jaiselmer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</si>
  <si>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</si>
  <si>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</si>
  <si>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</si>
  <si>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</si>
  <si>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</si>
  <si>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</si>
  <si>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</si>
  <si>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</si>
  <si>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Partapgarh</t>
  </si>
  <si>
    <t>Rajsamand</t>
  </si>
  <si>
    <t>S.Madhopur</t>
  </si>
  <si>
    <t>Sikar</t>
  </si>
  <si>
    <t>Sirohi</t>
  </si>
  <si>
    <t>Tonk</t>
  </si>
  <si>
    <t>Udaipur</t>
  </si>
  <si>
    <t>State / UT: Rajasthan</t>
  </si>
  <si>
    <t>State / UT:Rajasthan</t>
  </si>
  <si>
    <t>AJMER</t>
  </si>
  <si>
    <t>ALWAR</t>
  </si>
  <si>
    <t>BANSWARA</t>
  </si>
  <si>
    <t>BARAN</t>
  </si>
  <si>
    <t>BARMER</t>
  </si>
  <si>
    <t>BHARTPUR</t>
  </si>
  <si>
    <t>BHILWARA</t>
  </si>
  <si>
    <t>BIKANER</t>
  </si>
  <si>
    <t>BUNDI</t>
  </si>
  <si>
    <t>CHITORGARH</t>
  </si>
  <si>
    <t>CHURU</t>
  </si>
  <si>
    <t>DAUSA</t>
  </si>
  <si>
    <t>DHOLPUR</t>
  </si>
  <si>
    <t>DUNGARPUR</t>
  </si>
  <si>
    <t>GANGANER</t>
  </si>
  <si>
    <t>HUMANGARH</t>
  </si>
  <si>
    <t>JAIPUR</t>
  </si>
  <si>
    <t>JAISALMER</t>
  </si>
  <si>
    <t>JALORE</t>
  </si>
  <si>
    <t>JHALAWAR</t>
  </si>
  <si>
    <t>JHUNJHUNU</t>
  </si>
  <si>
    <t>JODHPUR</t>
  </si>
  <si>
    <t>KARAULI</t>
  </si>
  <si>
    <t>KOTA</t>
  </si>
  <si>
    <t>NAGAUR</t>
  </si>
  <si>
    <t>PALI</t>
  </si>
  <si>
    <t>PRATAPGARH</t>
  </si>
  <si>
    <t>RAJSAMAND</t>
  </si>
  <si>
    <t>S. MADHOPUR</t>
  </si>
  <si>
    <t>SIKAR</t>
  </si>
  <si>
    <t>SIROHI</t>
  </si>
  <si>
    <t>TONK</t>
  </si>
  <si>
    <t>UDAIPUR</t>
  </si>
  <si>
    <t>Pulse 1 (Moong Chilka)</t>
  </si>
  <si>
    <t>Pulse 2 (Urad Chilka)</t>
  </si>
  <si>
    <t>Pulse 3 (Channa Dal)</t>
  </si>
  <si>
    <t>PS</t>
  </si>
  <si>
    <t>UPS</t>
  </si>
  <si>
    <t>Enrolment 2018</t>
  </si>
  <si>
    <t>STATE/UT : Rajasthan________________</t>
  </si>
  <si>
    <t>E-Tr.</t>
  </si>
  <si>
    <t>Various Posts</t>
  </si>
  <si>
    <t>Yes, Commissioner MDM Office</t>
  </si>
  <si>
    <t xml:space="preserve">Yes, Commissioner MDM </t>
  </si>
  <si>
    <t>any manner</t>
  </si>
  <si>
    <t>No</t>
  </si>
  <si>
    <t>Yes</t>
  </si>
  <si>
    <t>Yes, rajmdm@rediffmail.com, mdm-rj@nic.in</t>
  </si>
  <si>
    <t>Yes, CBEEO Office</t>
  </si>
  <si>
    <t>Yes, DEO,(H)
Elementry Education</t>
  </si>
  <si>
    <t>Yes, CBEEO</t>
  </si>
  <si>
    <t>0141-2701960,2707166,2701694</t>
  </si>
  <si>
    <t>State/UT :Rajasthan</t>
  </si>
  <si>
    <t>JAISELMER</t>
  </si>
  <si>
    <t>JALOR</t>
  </si>
  <si>
    <t>HANUMANGARH</t>
  </si>
  <si>
    <t>P</t>
  </si>
  <si>
    <t>UP</t>
  </si>
  <si>
    <t>TOTAL</t>
  </si>
  <si>
    <t>Nil</t>
  </si>
  <si>
    <t>Omega Test House, 
Head Office 2/60, Malviya Nagar, Jaipur- 302017. 
Lab : J-889, Sitapura Ind. Area, Jaipur</t>
  </si>
  <si>
    <t>Jagdamba Laboratiories (NABL Accredited &amp; FSSAI Notified), 181, Padmavati Colony (B), New Sanaganer Road, Post Shay Nagar, Jaipur-302019</t>
  </si>
  <si>
    <t>Sesonal Fruits</t>
  </si>
  <si>
    <t>Rs 2 to Rs 5  per Pc</t>
  </si>
  <si>
    <t>Weekly</t>
  </si>
  <si>
    <t>yes</t>
  </si>
  <si>
    <t>NAGOUR</t>
  </si>
  <si>
    <t>total</t>
  </si>
  <si>
    <t>Akshaya Patra Foundation</t>
  </si>
  <si>
    <t>QRG Foundation</t>
  </si>
  <si>
    <t>Akshaya Patra &amp; Annamrit Foundation</t>
  </si>
  <si>
    <t>Adamya Chetna Trust &amp; Akshaya Patra</t>
  </si>
  <si>
    <t>25.04.18</t>
  </si>
  <si>
    <t>18.05.18</t>
  </si>
  <si>
    <t>21.05.18</t>
  </si>
  <si>
    <t>23.08.18</t>
  </si>
  <si>
    <t>05.09.18</t>
  </si>
  <si>
    <t>06.09.18</t>
  </si>
  <si>
    <t>28.12.18</t>
  </si>
  <si>
    <t>22.02.19</t>
  </si>
  <si>
    <t>26.02.19</t>
  </si>
  <si>
    <t>fg</t>
  </si>
  <si>
    <t>avg*232*100/1000000</t>
  </si>
  <si>
    <t>  AJMER</t>
  </si>
  <si>
    <t>  ALWAR</t>
  </si>
  <si>
    <t>  BANSWARA</t>
  </si>
  <si>
    <t>  BARAN</t>
  </si>
  <si>
    <t>  BARMER</t>
  </si>
  <si>
    <t>  BHARATPUR</t>
  </si>
  <si>
    <t>  BHILWARA</t>
  </si>
  <si>
    <t>  BIKANER</t>
  </si>
  <si>
    <t>  BUNDI</t>
  </si>
  <si>
    <t>  CHITTAURGARH</t>
  </si>
  <si>
    <t>  CHURU</t>
  </si>
  <si>
    <t>  DAUSA</t>
  </si>
  <si>
    <t>  DHAULPUR</t>
  </si>
  <si>
    <t>  DUNGARPUR</t>
  </si>
  <si>
    <t>  GANGANAGAR</t>
  </si>
  <si>
    <t>  HANUMANGARH</t>
  </si>
  <si>
    <t>  JAIPUR</t>
  </si>
  <si>
    <t>  JAISALMER</t>
  </si>
  <si>
    <t>  JALOR</t>
  </si>
  <si>
    <t>  JHALAWAR</t>
  </si>
  <si>
    <t>  JHUNJHUNUN</t>
  </si>
  <si>
    <t>  JODHPUR</t>
  </si>
  <si>
    <t>  KARAULI</t>
  </si>
  <si>
    <t>  KOTA</t>
  </si>
  <si>
    <t>  NAGAUR</t>
  </si>
  <si>
    <t>  PALI</t>
  </si>
  <si>
    <t>  PRATAPGARH (RAJ.)</t>
  </si>
  <si>
    <t>  RAJSAMAND</t>
  </si>
  <si>
    <t>  SAWAI MADHOPUR</t>
  </si>
  <si>
    <t>  SIKAR</t>
  </si>
  <si>
    <t>  SIROHI</t>
  </si>
  <si>
    <t>  TONK</t>
  </si>
  <si>
    <t>  UDAIPUR</t>
  </si>
  <si>
    <t>Less : Distt. Collector 2 Leave +H.M. Power 02+Teacher Conference 04 = Total 8 Days (-) 08
Anticipated No. of average Working Days between April, 2019 &amp; March 2020= 233
II. Anticipated No. of average Working Days per NCLP School between April, 2019 &amp; March, 2020 = 313</t>
  </si>
  <si>
    <t>Rajasthan</t>
  </si>
  <si>
    <t>State/UT : Rajasthan</t>
  </si>
  <si>
    <t xml:space="preserve">State / UT: Rajasthan </t>
  </si>
  <si>
    <t>from 01.07.2018</t>
  </si>
  <si>
    <t>cc=31292.15</t>
  </si>
  <si>
    <t>ta=600.71</t>
  </si>
  <si>
    <t>** Including the allocation for Drought Areas</t>
  </si>
  <si>
    <t>Gross Allocation for the  FY 2018-19**</t>
  </si>
  <si>
    <t>w</t>
  </si>
  <si>
    <t>r</t>
  </si>
  <si>
    <t>Drought</t>
  </si>
  <si>
    <t>Hot milk</t>
  </si>
  <si>
    <t>150gm</t>
  </si>
  <si>
    <t>Daily</t>
  </si>
  <si>
    <t>200gm</t>
  </si>
  <si>
    <t>ps</t>
  </si>
  <si>
    <t>ups</t>
  </si>
  <si>
    <t>wheat</t>
  </si>
  <si>
    <t>rice</t>
  </si>
  <si>
    <t>51to150</t>
  </si>
  <si>
    <t>151to250</t>
  </si>
  <si>
    <t>250above</t>
  </si>
  <si>
    <t>gen</t>
  </si>
  <si>
    <t>sc</t>
  </si>
  <si>
    <t>st</t>
  </si>
  <si>
    <t>cooking cost</t>
  </si>
  <si>
    <t xml:space="preserve">Note :- column no 9 &amp; 10 Dewormining tablets Distribution would be carried out  in the month of July 2019.  </t>
  </si>
  <si>
    <t>USB</t>
  </si>
  <si>
    <t>W</t>
  </si>
  <si>
    <t>R&amp;W</t>
  </si>
  <si>
    <t>FGU</t>
  </si>
  <si>
    <t>FGL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</si>
</sst>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5"/>
      <name val="Arial"/>
      <family val="2"/>
    </font>
    <font>
      <sz val="15"/>
      <color theme="1"/>
      <name val="Arial"/>
      <family val="2"/>
    </font>
    <font>
      <b/>
      <sz val="15"/>
      <name val="Arial"/>
      <family val="2"/>
    </font>
    <font>
      <sz val="15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9"/>
      <name val="Arial"/>
      <family val="2"/>
    </font>
    <font>
      <b/>
      <i/>
      <sz val="11"/>
      <color rgb="FF000000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16"/>
      <name val="DevLys 010"/>
    </font>
    <font>
      <sz val="12"/>
      <name val="Colonna MT"/>
      <family val="5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</font>
    <font>
      <b/>
      <u/>
      <sz val="11"/>
      <color theme="1"/>
      <name val="Calibri"/>
      <family val="2"/>
    </font>
    <font>
      <b/>
      <sz val="10"/>
      <color theme="1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3D3D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50" fillId="0" borderId="0"/>
    <xf numFmtId="0" fontId="5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75" fillId="0" borderId="0"/>
    <xf numFmtId="0" fontId="10" fillId="0" borderId="0"/>
    <xf numFmtId="0" fontId="3" fillId="0" borderId="0"/>
    <xf numFmtId="9" fontId="8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" fillId="0" borderId="0"/>
    <xf numFmtId="0" fontId="86" fillId="0" borderId="0" applyNumberFormat="0" applyFill="0" applyBorder="0" applyAlignment="0" applyProtection="0">
      <alignment vertical="top"/>
      <protection locked="0"/>
    </xf>
  </cellStyleXfs>
  <cellXfs count="1178"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5" fillId="0" borderId="0" xfId="0" applyFont="1" applyBorder="1" applyAlignment="1">
      <alignment horizontal="right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0" fontId="10" fillId="0" borderId="2" xfId="0" quotePrefix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0" fillId="0" borderId="5" xfId="0" applyFont="1" applyBorder="1"/>
    <xf numFmtId="0" fontId="10" fillId="0" borderId="6" xfId="0" applyFont="1" applyBorder="1"/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5" fillId="0" borderId="0" xfId="0" applyFont="1" applyAlignment="1"/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left" wrapText="1"/>
    </xf>
    <xf numFmtId="0" fontId="6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/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top" wrapText="1"/>
    </xf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0" fontId="18" fillId="0" borderId="0" xfId="0" applyFont="1"/>
    <xf numFmtId="0" fontId="16" fillId="0" borderId="0" xfId="0" applyFont="1" applyBorder="1"/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0" xfId="0" applyFont="1"/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0" fillId="0" borderId="0" xfId="0" applyFont="1"/>
    <xf numFmtId="0" fontId="20" fillId="0" borderId="2" xfId="0" quotePrefix="1" applyFont="1" applyBorder="1" applyAlignment="1">
      <alignment horizontal="center" vertical="top" wrapText="1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 wrapText="1"/>
    </xf>
    <xf numFmtId="0" fontId="10" fillId="0" borderId="0" xfId="0" quotePrefix="1" applyFont="1" applyBorder="1" applyAlignment="1">
      <alignment horizontal="center"/>
    </xf>
    <xf numFmtId="0" fontId="22" fillId="0" borderId="0" xfId="1" applyFont="1"/>
    <xf numFmtId="0" fontId="23" fillId="0" borderId="2" xfId="1" applyFont="1" applyBorder="1" applyAlignment="1">
      <alignment horizontal="center" vertical="top" wrapText="1"/>
    </xf>
    <xf numFmtId="0" fontId="50" fillId="0" borderId="0" xfId="1"/>
    <xf numFmtId="0" fontId="50" fillId="0" borderId="0" xfId="1" applyAlignment="1">
      <alignment horizontal="left"/>
    </xf>
    <xf numFmtId="0" fontId="24" fillId="0" borderId="0" xfId="1" applyFont="1" applyAlignment="1">
      <alignment horizontal="left"/>
    </xf>
    <xf numFmtId="0" fontId="50" fillId="0" borderId="7" xfId="1" applyBorder="1" applyAlignment="1">
      <alignment horizontal="center"/>
    </xf>
    <xf numFmtId="0" fontId="21" fillId="0" borderId="0" xfId="1" applyFont="1"/>
    <xf numFmtId="0" fontId="21" fillId="0" borderId="0" xfId="1" applyFont="1" applyAlignment="1">
      <alignment horizontal="center"/>
    </xf>
    <xf numFmtId="49" fontId="22" fillId="0" borderId="2" xfId="1" applyNumberFormat="1" applyFont="1" applyBorder="1" applyAlignment="1">
      <alignment vertical="top" wrapText="1"/>
    </xf>
    <xf numFmtId="0" fontId="50" fillId="0" borderId="2" xfId="1" applyBorder="1"/>
    <xf numFmtId="0" fontId="22" fillId="0" borderId="2" xfId="1" applyFont="1" applyBorder="1" applyAlignment="1">
      <alignment vertical="top" wrapText="1"/>
    </xf>
    <xf numFmtId="0" fontId="50" fillId="0" borderId="0" xfId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25" fillId="0" borderId="3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/>
    </xf>
    <xf numFmtId="0" fontId="10" fillId="0" borderId="0" xfId="3"/>
    <xf numFmtId="0" fontId="15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7" fillId="0" borderId="0" xfId="3" applyFont="1"/>
    <xf numFmtId="0" fontId="5" fillId="0" borderId="2" xfId="3" applyFont="1" applyBorder="1" applyAlignment="1">
      <alignment horizontal="center"/>
    </xf>
    <xf numFmtId="0" fontId="5" fillId="0" borderId="2" xfId="3" applyFont="1" applyBorder="1" applyAlignment="1">
      <alignment horizontal="center" vertical="top" wrapText="1"/>
    </xf>
    <xf numFmtId="0" fontId="5" fillId="0" borderId="4" xfId="3" applyFont="1" applyBorder="1" applyAlignment="1">
      <alignment horizontal="center" vertical="top" wrapText="1"/>
    </xf>
    <xf numFmtId="0" fontId="10" fillId="0" borderId="2" xfId="3" applyBorder="1" applyAlignment="1">
      <alignment horizontal="center"/>
    </xf>
    <xf numFmtId="0" fontId="10" fillId="0" borderId="2" xfId="3" applyBorder="1"/>
    <xf numFmtId="0" fontId="10" fillId="0" borderId="0" xfId="3" applyFill="1" applyBorder="1" applyAlignment="1">
      <alignment horizontal="left"/>
    </xf>
    <xf numFmtId="0" fontId="5" fillId="0" borderId="0" xfId="3" applyFont="1" applyBorder="1" applyAlignment="1">
      <alignment horizontal="center"/>
    </xf>
    <xf numFmtId="0" fontId="10" fillId="0" borderId="0" xfId="3" applyBorder="1"/>
    <xf numFmtId="0" fontId="9" fillId="0" borderId="0" xfId="3" applyFont="1"/>
    <xf numFmtId="0" fontId="5" fillId="0" borderId="0" xfId="3" applyFont="1"/>
    <xf numFmtId="0" fontId="6" fillId="0" borderId="0" xfId="3" applyFont="1" applyAlignment="1"/>
    <xf numFmtId="0" fontId="20" fillId="0" borderId="7" xfId="0" applyFont="1" applyBorder="1" applyAlignment="1"/>
    <xf numFmtId="0" fontId="5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8" xfId="0" applyFont="1" applyBorder="1"/>
    <xf numFmtId="0" fontId="5" fillId="0" borderId="9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22" fillId="0" borderId="2" xfId="1" applyFont="1" applyBorder="1"/>
    <xf numFmtId="0" fontId="22" fillId="0" borderId="2" xfId="1" applyFont="1" applyBorder="1" applyAlignment="1">
      <alignment wrapText="1"/>
    </xf>
    <xf numFmtId="0" fontId="22" fillId="0" borderId="2" xfId="1" applyFont="1" applyBorder="1" applyAlignment="1"/>
    <xf numFmtId="0" fontId="22" fillId="0" borderId="0" xfId="1" applyFont="1" applyBorder="1"/>
    <xf numFmtId="0" fontId="5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/>
    <xf numFmtId="0" fontId="8" fillId="0" borderId="0" xfId="0" applyFont="1" applyAlignment="1"/>
    <xf numFmtId="0" fontId="13" fillId="0" borderId="0" xfId="0" applyFont="1" applyBorder="1"/>
    <xf numFmtId="0" fontId="27" fillId="0" borderId="0" xfId="1" applyFont="1"/>
    <xf numFmtId="0" fontId="50" fillId="0" borderId="2" xfId="1" applyBorder="1" applyAlignment="1">
      <alignment horizontal="center"/>
    </xf>
    <xf numFmtId="0" fontId="16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/>
    </xf>
    <xf numFmtId="0" fontId="5" fillId="0" borderId="0" xfId="3" applyFont="1" applyBorder="1"/>
    <xf numFmtId="0" fontId="21" fillId="0" borderId="0" xfId="1" applyFont="1" applyBorder="1" applyAlignment="1">
      <alignment horizontal="center"/>
    </xf>
    <xf numFmtId="0" fontId="9" fillId="0" borderId="0" xfId="0" applyFont="1" applyBorder="1"/>
    <xf numFmtId="0" fontId="23" fillId="0" borderId="3" xfId="1" applyFont="1" applyBorder="1" applyAlignment="1">
      <alignment horizontal="center" vertical="top" wrapText="1"/>
    </xf>
    <xf numFmtId="0" fontId="9" fillId="0" borderId="2" xfId="0" applyFont="1" applyBorder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3" applyFont="1" applyAlignment="1">
      <alignment horizontal="center"/>
    </xf>
    <xf numFmtId="0" fontId="21" fillId="0" borderId="2" xfId="1" applyFont="1" applyBorder="1" applyAlignment="1">
      <alignment horizontal="center"/>
    </xf>
    <xf numFmtId="0" fontId="21" fillId="0" borderId="0" xfId="1" applyFont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14" fillId="0" borderId="0" xfId="3" applyFont="1" applyAlignment="1"/>
    <xf numFmtId="0" fontId="20" fillId="0" borderId="0" xfId="0" applyFont="1" applyBorder="1" applyAlignment="1">
      <alignment horizontal="center"/>
    </xf>
    <xf numFmtId="0" fontId="9" fillId="0" borderId="7" xfId="0" applyFont="1" applyBorder="1" applyAlignment="1"/>
    <xf numFmtId="0" fontId="5" fillId="0" borderId="10" xfId="3" applyFont="1" applyFill="1" applyBorder="1" applyAlignment="1">
      <alignment horizontal="center" vertical="top" wrapText="1"/>
    </xf>
    <xf numFmtId="0" fontId="10" fillId="0" borderId="0" xfId="3" applyAlignment="1">
      <alignment horizontal="left"/>
    </xf>
    <xf numFmtId="0" fontId="9" fillId="0" borderId="0" xfId="3" applyFont="1" applyAlignment="1">
      <alignment vertical="top" wrapText="1"/>
    </xf>
    <xf numFmtId="0" fontId="17" fillId="0" borderId="0" xfId="0" applyFont="1" applyAlignment="1">
      <alignment horizontal="left"/>
    </xf>
    <xf numFmtId="0" fontId="5" fillId="0" borderId="8" xfId="0" applyFont="1" applyBorder="1" applyAlignment="1">
      <alignment horizontal="center" vertical="top" wrapText="1"/>
    </xf>
    <xf numFmtId="0" fontId="10" fillId="0" borderId="0" xfId="1" applyFont="1"/>
    <xf numFmtId="0" fontId="8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10" fillId="0" borderId="2" xfId="1" applyFont="1" applyBorder="1"/>
    <xf numFmtId="0" fontId="12" fillId="0" borderId="0" xfId="1" applyFont="1"/>
    <xf numFmtId="0" fontId="5" fillId="0" borderId="2" xfId="1" applyFont="1" applyBorder="1"/>
    <xf numFmtId="0" fontId="10" fillId="0" borderId="2" xfId="1" applyFont="1" applyBorder="1" applyAlignment="1"/>
    <xf numFmtId="0" fontId="10" fillId="0" borderId="2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10" fillId="0" borderId="2" xfId="0" applyFont="1" applyBorder="1" applyAlignment="1">
      <alignment wrapText="1"/>
    </xf>
    <xf numFmtId="0" fontId="30" fillId="0" borderId="3" xfId="1" applyFont="1" applyBorder="1" applyAlignment="1">
      <alignment horizontal="center" vertical="top" wrapText="1"/>
    </xf>
    <xf numFmtId="0" fontId="27" fillId="0" borderId="0" xfId="1" applyFont="1" applyAlignment="1">
      <alignment horizontal="center"/>
    </xf>
    <xf numFmtId="0" fontId="31" fillId="0" borderId="10" xfId="1" applyFont="1" applyBorder="1" applyAlignment="1">
      <alignment horizontal="center" wrapText="1"/>
    </xf>
    <xf numFmtId="0" fontId="31" fillId="0" borderId="1" xfId="1" applyFont="1" applyBorder="1" applyAlignment="1">
      <alignment horizontal="center"/>
    </xf>
    <xf numFmtId="0" fontId="5" fillId="0" borderId="11" xfId="3" applyFont="1" applyFill="1" applyBorder="1" applyAlignment="1">
      <alignment horizontal="center" vertical="top" wrapText="1"/>
    </xf>
    <xf numFmtId="0" fontId="10" fillId="0" borderId="5" xfId="3" applyBorder="1"/>
    <xf numFmtId="0" fontId="10" fillId="0" borderId="2" xfId="0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9" fillId="0" borderId="0" xfId="0" applyFont="1" applyBorder="1" applyAlignment="1"/>
    <xf numFmtId="0" fontId="25" fillId="0" borderId="5" xfId="1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33" fillId="0" borderId="0" xfId="1" applyFont="1" applyAlignment="1">
      <alignment horizontal="center"/>
    </xf>
    <xf numFmtId="0" fontId="10" fillId="0" borderId="0" xfId="3" applyFont="1"/>
    <xf numFmtId="0" fontId="5" fillId="0" borderId="2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top"/>
    </xf>
    <xf numFmtId="0" fontId="20" fillId="0" borderId="2" xfId="3" applyFont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5" fillId="0" borderId="2" xfId="3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 wrapText="1"/>
    </xf>
    <xf numFmtId="0" fontId="10" fillId="0" borderId="0" xfId="4"/>
    <xf numFmtId="0" fontId="9" fillId="0" borderId="0" xfId="4" applyFont="1" applyAlignment="1"/>
    <xf numFmtId="0" fontId="15" fillId="0" borderId="0" xfId="4" applyFont="1" applyAlignment="1"/>
    <xf numFmtId="0" fontId="7" fillId="0" borderId="0" xfId="4" applyFont="1"/>
    <xf numFmtId="0" fontId="20" fillId="0" borderId="2" xfId="4" applyFont="1" applyBorder="1" applyAlignment="1">
      <alignment horizontal="center" vertical="top" wrapText="1"/>
    </xf>
    <xf numFmtId="0" fontId="20" fillId="0" borderId="0" xfId="4" applyFont="1"/>
    <xf numFmtId="0" fontId="20" fillId="0" borderId="0" xfId="4" applyFont="1" applyBorder="1"/>
    <xf numFmtId="0" fontId="20" fillId="0" borderId="5" xfId="4" applyFont="1" applyBorder="1" applyAlignment="1">
      <alignment horizontal="center" vertical="top" wrapText="1"/>
    </xf>
    <xf numFmtId="0" fontId="20" fillId="0" borderId="9" xfId="4" applyFont="1" applyBorder="1" applyAlignment="1">
      <alignment horizontal="center" vertical="top" wrapText="1"/>
    </xf>
    <xf numFmtId="0" fontId="20" fillId="0" borderId="6" xfId="4" applyFont="1" applyBorder="1" applyAlignment="1">
      <alignment horizontal="center" vertical="top" wrapText="1"/>
    </xf>
    <xf numFmtId="0" fontId="5" fillId="0" borderId="0" xfId="4" applyFont="1"/>
    <xf numFmtId="0" fontId="20" fillId="0" borderId="2" xfId="4" applyFont="1" applyBorder="1" applyAlignment="1">
      <alignment horizontal="center"/>
    </xf>
    <xf numFmtId="0" fontId="5" fillId="0" borderId="2" xfId="4" applyFont="1" applyBorder="1"/>
    <xf numFmtId="0" fontId="5" fillId="0" borderId="2" xfId="4" applyFont="1" applyBorder="1" applyAlignment="1">
      <alignment horizontal="center"/>
    </xf>
    <xf numFmtId="0" fontId="5" fillId="0" borderId="2" xfId="4" applyFont="1" applyBorder="1" applyAlignment="1">
      <alignment horizontal="left"/>
    </xf>
    <xf numFmtId="0" fontId="10" fillId="0" borderId="2" xfId="4" applyBorder="1"/>
    <xf numFmtId="0" fontId="5" fillId="0" borderId="2" xfId="4" applyFont="1" applyBorder="1" applyAlignment="1">
      <alignment horizontal="left" wrapText="1"/>
    </xf>
    <xf numFmtId="0" fontId="10" fillId="0" borderId="0" xfId="4" applyFill="1" applyBorder="1" applyAlignment="1">
      <alignment horizontal="left"/>
    </xf>
    <xf numFmtId="0" fontId="10" fillId="0" borderId="0" xfId="4" applyAlignment="1">
      <alignment horizontal="left"/>
    </xf>
    <xf numFmtId="0" fontId="9" fillId="0" borderId="0" xfId="4" applyFont="1"/>
    <xf numFmtId="0" fontId="10" fillId="0" borderId="0" xfId="5"/>
    <xf numFmtId="0" fontId="6" fillId="0" borderId="0" xfId="5" applyFont="1" applyAlignment="1">
      <alignment horizontal="right"/>
    </xf>
    <xf numFmtId="0" fontId="7" fillId="0" borderId="0" xfId="5" applyFont="1" applyAlignment="1">
      <alignment horizontal="right"/>
    </xf>
    <xf numFmtId="0" fontId="18" fillId="0" borderId="2" xfId="5" applyFont="1" applyBorder="1" applyAlignment="1">
      <alignment horizontal="center" vertical="top" wrapText="1"/>
    </xf>
    <xf numFmtId="0" fontId="18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/>
    </xf>
    <xf numFmtId="0" fontId="16" fillId="0" borderId="2" xfId="5" applyFont="1" applyBorder="1" applyAlignment="1">
      <alignment horizontal="left" vertical="top" wrapText="1"/>
    </xf>
    <xf numFmtId="0" fontId="16" fillId="0" borderId="2" xfId="5" applyFont="1" applyBorder="1" applyAlignment="1">
      <alignment horizontal="center" vertical="top" wrapText="1"/>
    </xf>
    <xf numFmtId="0" fontId="16" fillId="0" borderId="0" xfId="5" applyFont="1" applyAlignment="1">
      <alignment horizontal="left"/>
    </xf>
    <xf numFmtId="0" fontId="5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Border="1" applyAlignment="1"/>
    <xf numFmtId="0" fontId="38" fillId="0" borderId="1" xfId="0" applyFont="1" applyBorder="1" applyAlignment="1">
      <alignment vertical="top" wrapText="1"/>
    </xf>
    <xf numFmtId="0" fontId="38" fillId="3" borderId="1" xfId="0" applyFont="1" applyFill="1" applyBorder="1" applyAlignment="1">
      <alignment vertical="center" wrapText="1"/>
    </xf>
    <xf numFmtId="0" fontId="39" fillId="0" borderId="2" xfId="0" quotePrefix="1" applyFont="1" applyBorder="1" applyAlignment="1">
      <alignment horizontal="center" vertical="top" wrapText="1"/>
    </xf>
    <xf numFmtId="0" fontId="0" fillId="3" borderId="2" xfId="0" applyFill="1" applyBorder="1"/>
    <xf numFmtId="0" fontId="53" fillId="0" borderId="0" xfId="0" applyFont="1"/>
    <xf numFmtId="0" fontId="5" fillId="0" borderId="0" xfId="1" applyFont="1"/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0" fontId="9" fillId="0" borderId="0" xfId="1" applyFont="1"/>
    <xf numFmtId="0" fontId="5" fillId="0" borderId="0" xfId="1" applyFont="1" applyAlignment="1"/>
    <xf numFmtId="0" fontId="5" fillId="0" borderId="7" xfId="1" applyFont="1" applyBorder="1" applyAlignment="1"/>
    <xf numFmtId="0" fontId="5" fillId="0" borderId="0" xfId="1" applyFont="1" applyBorder="1" applyAlignment="1"/>
    <xf numFmtId="0" fontId="5" fillId="0" borderId="0" xfId="1" applyFont="1" applyBorder="1"/>
    <xf numFmtId="0" fontId="5" fillId="0" borderId="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/>
    </xf>
    <xf numFmtId="0" fontId="39" fillId="0" borderId="2" xfId="0" applyFont="1" applyBorder="1" applyAlignment="1">
      <alignment horizontal="center" vertical="top" wrapText="1"/>
    </xf>
    <xf numFmtId="0" fontId="5" fillId="0" borderId="2" xfId="1" applyFont="1" applyBorder="1" applyAlignment="1"/>
    <xf numFmtId="0" fontId="16" fillId="0" borderId="0" xfId="1" applyFont="1" applyBorder="1" applyAlignment="1"/>
    <xf numFmtId="0" fontId="5" fillId="0" borderId="2" xfId="1" applyFont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20" fillId="0" borderId="0" xfId="1" applyFont="1"/>
    <xf numFmtId="0" fontId="18" fillId="0" borderId="0" xfId="1" applyFont="1" applyBorder="1" applyAlignment="1">
      <alignment wrapText="1"/>
    </xf>
    <xf numFmtId="0" fontId="5" fillId="3" borderId="2" xfId="1" quotePrefix="1" applyFont="1" applyFill="1" applyBorder="1" applyAlignment="1">
      <alignment horizontal="center" vertical="center" wrapText="1"/>
    </xf>
    <xf numFmtId="0" fontId="20" fillId="3" borderId="3" xfId="1" quotePrefix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5" fillId="0" borderId="2" xfId="1" applyFont="1" applyBorder="1" applyAlignment="1">
      <alignment horizontal="left"/>
    </xf>
    <xf numFmtId="0" fontId="35" fillId="0" borderId="0" xfId="0" applyFont="1" applyAlignment="1"/>
    <xf numFmtId="0" fontId="36" fillId="0" borderId="0" xfId="0" applyFont="1" applyAlignment="1"/>
    <xf numFmtId="0" fontId="39" fillId="0" borderId="0" xfId="0" applyFont="1" applyBorder="1" applyAlignment="1"/>
    <xf numFmtId="0" fontId="38" fillId="0" borderId="2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top"/>
    </xf>
    <xf numFmtId="0" fontId="55" fillId="0" borderId="2" xfId="0" applyFont="1" applyBorder="1" applyAlignment="1">
      <alignment vertical="top" wrapText="1"/>
    </xf>
    <xf numFmtId="0" fontId="52" fillId="0" borderId="2" xfId="0" applyFont="1" applyBorder="1" applyAlignment="1">
      <alignment horizontal="center"/>
    </xf>
    <xf numFmtId="0" fontId="56" fillId="0" borderId="2" xfId="0" applyFont="1" applyBorder="1" applyAlignment="1">
      <alignment horizontal="center" vertical="center" wrapText="1"/>
    </xf>
    <xf numFmtId="0" fontId="57" fillId="0" borderId="1" xfId="0" applyFont="1" applyBorder="1" applyAlignment="1">
      <alignment vertical="center" wrapText="1"/>
    </xf>
    <xf numFmtId="0" fontId="57" fillId="0" borderId="2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0" fillId="0" borderId="2" xfId="0" applyFont="1" applyBorder="1" applyAlignment="1">
      <alignment vertical="top" wrapText="1"/>
    </xf>
    <xf numFmtId="0" fontId="60" fillId="0" borderId="2" xfId="0" applyFont="1" applyBorder="1" applyAlignment="1">
      <alignment horizontal="center" vertical="top" wrapText="1"/>
    </xf>
    <xf numFmtId="0" fontId="51" fillId="0" borderId="0" xfId="0" applyFont="1"/>
    <xf numFmtId="0" fontId="61" fillId="0" borderId="2" xfId="0" applyFont="1" applyBorder="1" applyAlignment="1">
      <alignment vertical="center" wrapText="1"/>
    </xf>
    <xf numFmtId="0" fontId="61" fillId="0" borderId="2" xfId="0" applyFont="1" applyBorder="1" applyAlignment="1">
      <alignment horizontal="left" vertical="center" wrapText="1" indent="2"/>
    </xf>
    <xf numFmtId="0" fontId="61" fillId="0" borderId="0" xfId="0" applyFont="1" applyBorder="1" applyAlignment="1">
      <alignment horizontal="left" vertical="center" wrapText="1" indent="2"/>
    </xf>
    <xf numFmtId="0" fontId="61" fillId="0" borderId="0" xfId="0" applyFont="1" applyBorder="1" applyAlignment="1">
      <alignment vertical="center" wrapText="1"/>
    </xf>
    <xf numFmtId="0" fontId="51" fillId="0" borderId="2" xfId="0" applyFont="1" applyBorder="1" applyAlignment="1">
      <alignment vertical="top" wrapText="1"/>
    </xf>
    <xf numFmtId="0" fontId="51" fillId="0" borderId="5" xfId="0" applyFont="1" applyBorder="1" applyAlignment="1">
      <alignment horizontal="center" vertical="top" wrapText="1"/>
    </xf>
    <xf numFmtId="0" fontId="61" fillId="0" borderId="5" xfId="0" applyFont="1" applyBorder="1" applyAlignment="1">
      <alignment vertical="center" wrapText="1"/>
    </xf>
    <xf numFmtId="0" fontId="51" fillId="0" borderId="2" xfId="0" applyFont="1" applyBorder="1"/>
    <xf numFmtId="0" fontId="61" fillId="0" borderId="2" xfId="0" applyFont="1" applyBorder="1" applyAlignment="1">
      <alignment horizontal="center" vertical="center" wrapText="1"/>
    </xf>
    <xf numFmtId="0" fontId="8" fillId="0" borderId="0" xfId="1" applyFont="1" applyAlignment="1"/>
    <xf numFmtId="0" fontId="35" fillId="0" borderId="0" xfId="0" applyFont="1" applyAlignment="1">
      <alignment horizontal="right"/>
    </xf>
    <xf numFmtId="0" fontId="5" fillId="0" borderId="2" xfId="0" applyFont="1" applyFill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0" fillId="4" borderId="0" xfId="0" applyFont="1" applyFill="1"/>
    <xf numFmtId="0" fontId="15" fillId="4" borderId="0" xfId="0" applyFont="1" applyFill="1"/>
    <xf numFmtId="0" fontId="5" fillId="4" borderId="0" xfId="0" applyFont="1" applyFill="1"/>
    <xf numFmtId="0" fontId="55" fillId="0" borderId="3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center"/>
    </xf>
    <xf numFmtId="0" fontId="5" fillId="0" borderId="2" xfId="3" applyFont="1" applyFill="1" applyBorder="1" applyAlignment="1">
      <alignment horizontal="left" vertical="center" wrapText="1"/>
    </xf>
    <xf numFmtId="0" fontId="10" fillId="3" borderId="0" xfId="1" applyFont="1" applyFill="1"/>
    <xf numFmtId="0" fontId="8" fillId="3" borderId="0" xfId="1" applyFont="1" applyFill="1" applyAlignment="1"/>
    <xf numFmtId="0" fontId="20" fillId="3" borderId="2" xfId="1" applyFont="1" applyFill="1" applyBorder="1" applyAlignment="1">
      <alignment horizontal="center"/>
    </xf>
    <xf numFmtId="0" fontId="10" fillId="3" borderId="0" xfId="0" applyFont="1" applyFill="1"/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/>
    <xf numFmtId="0" fontId="10" fillId="3" borderId="5" xfId="0" applyFont="1" applyFill="1" applyBorder="1" applyAlignment="1"/>
    <xf numFmtId="0" fontId="10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/>
    <xf numFmtId="0" fontId="5" fillId="0" borderId="0" xfId="3" applyFont="1" applyAlignment="1"/>
    <xf numFmtId="0" fontId="20" fillId="0" borderId="0" xfId="3" applyFont="1" applyAlignment="1">
      <alignment horizontal="right"/>
    </xf>
    <xf numFmtId="0" fontId="13" fillId="0" borderId="2" xfId="0" applyFont="1" applyBorder="1" applyAlignment="1">
      <alignment horizontal="center"/>
    </xf>
    <xf numFmtId="0" fontId="51" fillId="0" borderId="2" xfId="1" applyFont="1" applyBorder="1"/>
    <xf numFmtId="0" fontId="60" fillId="0" borderId="2" xfId="1" applyFont="1" applyBorder="1"/>
    <xf numFmtId="0" fontId="51" fillId="0" borderId="0" xfId="1" applyFont="1" applyBorder="1"/>
    <xf numFmtId="0" fontId="51" fillId="0" borderId="2" xfId="1" applyFont="1" applyBorder="1" applyAlignment="1">
      <alignment horizontal="center"/>
    </xf>
    <xf numFmtId="0" fontId="23" fillId="0" borderId="2" xfId="1" applyFont="1" applyBorder="1"/>
    <xf numFmtId="0" fontId="37" fillId="3" borderId="0" xfId="0" applyFont="1" applyFill="1"/>
    <xf numFmtId="0" fontId="51" fillId="3" borderId="2" xfId="0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56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/>
    </xf>
    <xf numFmtId="0" fontId="37" fillId="0" borderId="2" xfId="0" quotePrefix="1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top" wrapText="1"/>
    </xf>
    <xf numFmtId="0" fontId="13" fillId="3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43" fillId="0" borderId="0" xfId="0" applyFont="1" applyAlignment="1"/>
    <xf numFmtId="0" fontId="18" fillId="0" borderId="0" xfId="0" applyFont="1" applyAlignment="1"/>
    <xf numFmtId="0" fontId="63" fillId="0" borderId="2" xfId="0" applyFont="1" applyBorder="1"/>
    <xf numFmtId="0" fontId="51" fillId="0" borderId="2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top" wrapText="1"/>
    </xf>
    <xf numFmtId="0" fontId="5" fillId="3" borderId="0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/>
    <xf numFmtId="0" fontId="38" fillId="3" borderId="1" xfId="0" applyFont="1" applyFill="1" applyBorder="1" applyAlignment="1">
      <alignment horizontal="center" vertical="top" wrapText="1"/>
    </xf>
    <xf numFmtId="0" fontId="5" fillId="0" borderId="0" xfId="2" applyFont="1"/>
    <xf numFmtId="0" fontId="5" fillId="0" borderId="0" xfId="2" applyFont="1" applyAlignment="1">
      <alignment horizontal="center" vertical="top" wrapText="1"/>
    </xf>
    <xf numFmtId="0" fontId="5" fillId="0" borderId="0" xfId="2" applyFont="1" applyAlignment="1"/>
    <xf numFmtId="0" fontId="5" fillId="0" borderId="0" xfId="2" applyFont="1" applyAlignment="1">
      <alignment horizontal="center"/>
    </xf>
    <xf numFmtId="0" fontId="35" fillId="3" borderId="0" xfId="0" applyFont="1" applyFill="1" applyAlignment="1">
      <alignment horizontal="center"/>
    </xf>
    <xf numFmtId="0" fontId="39" fillId="3" borderId="2" xfId="0" quotePrefix="1" applyFont="1" applyFill="1" applyBorder="1" applyAlignment="1">
      <alignment horizontal="center" vertical="top" wrapText="1"/>
    </xf>
    <xf numFmtId="0" fontId="17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10" fillId="0" borderId="2" xfId="3" applyFont="1" applyBorder="1"/>
    <xf numFmtId="0" fontId="10" fillId="0" borderId="0" xfId="3" applyFont="1" applyBorder="1"/>
    <xf numFmtId="0" fontId="10" fillId="0" borderId="2" xfId="3" applyFont="1" applyBorder="1" applyAlignment="1">
      <alignment horizontal="center"/>
    </xf>
    <xf numFmtId="0" fontId="5" fillId="0" borderId="2" xfId="3" applyFont="1" applyBorder="1"/>
    <xf numFmtId="0" fontId="5" fillId="0" borderId="0" xfId="3" applyFont="1" applyAlignment="1">
      <alignment horizontal="right" vertical="top" wrapText="1"/>
    </xf>
    <xf numFmtId="0" fontId="63" fillId="0" borderId="2" xfId="0" applyFont="1" applyFill="1" applyBorder="1"/>
    <xf numFmtId="0" fontId="5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0" fillId="0" borderId="0" xfId="1" applyBorder="1" applyAlignment="1">
      <alignment horizontal="center"/>
    </xf>
    <xf numFmtId="0" fontId="20" fillId="0" borderId="3" xfId="0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center" wrapText="1"/>
    </xf>
    <xf numFmtId="0" fontId="61" fillId="0" borderId="2" xfId="0" applyFont="1" applyBorder="1" applyAlignment="1">
      <alignment vertical="center"/>
    </xf>
    <xf numFmtId="0" fontId="63" fillId="0" borderId="2" xfId="0" applyFont="1" applyBorder="1" applyAlignment="1">
      <alignment horizontal="left"/>
    </xf>
    <xf numFmtId="0" fontId="5" fillId="0" borderId="2" xfId="4" quotePrefix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vertical="center" wrapText="1"/>
    </xf>
    <xf numFmtId="0" fontId="15" fillId="3" borderId="0" xfId="0" applyFont="1" applyFill="1"/>
    <xf numFmtId="0" fontId="13" fillId="0" borderId="2" xfId="3" applyFont="1" applyBorder="1" applyAlignment="1">
      <alignment horizontal="center" vertical="top" wrapText="1"/>
    </xf>
    <xf numFmtId="0" fontId="20" fillId="0" borderId="2" xfId="3" applyFont="1" applyBorder="1" applyAlignment="1">
      <alignment horizontal="center" vertical="top" wrapText="1"/>
    </xf>
    <xf numFmtId="0" fontId="20" fillId="0" borderId="5" xfId="3" applyFont="1" applyBorder="1" applyAlignment="1">
      <alignment horizontal="center" vertical="top" wrapText="1"/>
    </xf>
    <xf numFmtId="0" fontId="20" fillId="0" borderId="4" xfId="3" applyFont="1" applyBorder="1" applyAlignment="1">
      <alignment horizontal="center" vertical="top" wrapText="1"/>
    </xf>
    <xf numFmtId="0" fontId="20" fillId="3" borderId="2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20" fillId="4" borderId="0" xfId="0" applyFont="1" applyFill="1"/>
    <xf numFmtId="0" fontId="30" fillId="0" borderId="2" xfId="1" applyFont="1" applyBorder="1" applyAlignment="1">
      <alignment horizontal="center" vertical="top" wrapText="1"/>
    </xf>
    <xf numFmtId="0" fontId="47" fillId="0" borderId="0" xfId="1" applyFont="1" applyAlignment="1">
      <alignment horizontal="center"/>
    </xf>
    <xf numFmtId="0" fontId="30" fillId="0" borderId="2" xfId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38" fillId="3" borderId="12" xfId="0" applyFont="1" applyFill="1" applyBorder="1" applyAlignment="1">
      <alignment horizontal="center" vertical="top" wrapText="1"/>
    </xf>
    <xf numFmtId="0" fontId="39" fillId="0" borderId="5" xfId="0" quotePrefix="1" applyFont="1" applyBorder="1" applyAlignment="1">
      <alignment horizontal="center" vertical="top" wrapText="1"/>
    </xf>
    <xf numFmtId="0" fontId="63" fillId="0" borderId="2" xfId="3" applyFont="1" applyBorder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5" fillId="3" borderId="2" xfId="0" applyFont="1" applyFill="1" applyBorder="1" applyAlignment="1">
      <alignment horizontal="left"/>
    </xf>
    <xf numFmtId="1" fontId="37" fillId="3" borderId="2" xfId="0" quotePrefix="1" applyNumberFormat="1" applyFont="1" applyFill="1" applyBorder="1" applyAlignment="1">
      <alignment horizontal="center" vertical="top" wrapText="1"/>
    </xf>
    <xf numFmtId="1" fontId="37" fillId="3" borderId="2" xfId="0" quotePrefix="1" applyNumberFormat="1" applyFont="1" applyFill="1" applyBorder="1" applyAlignment="1">
      <alignment horizontal="right" vertical="top" wrapText="1"/>
    </xf>
    <xf numFmtId="1" fontId="10" fillId="3" borderId="2" xfId="0" applyNumberFormat="1" applyFont="1" applyFill="1" applyBorder="1" applyAlignment="1">
      <alignment horizontal="center"/>
    </xf>
    <xf numFmtId="0" fontId="5" fillId="3" borderId="2" xfId="0" applyFont="1" applyFill="1" applyBorder="1"/>
    <xf numFmtId="1" fontId="5" fillId="3" borderId="2" xfId="0" applyNumberFormat="1" applyFon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6" fillId="3" borderId="2" xfId="0" applyFont="1" applyFill="1" applyBorder="1" applyAlignment="1">
      <alignment horizontal="left"/>
    </xf>
    <xf numFmtId="1" fontId="15" fillId="3" borderId="2" xfId="0" applyNumberFormat="1" applyFont="1" applyFill="1" applyBorder="1" applyAlignment="1">
      <alignment horizontal="center"/>
    </xf>
    <xf numFmtId="1" fontId="15" fillId="3" borderId="5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0" fontId="15" fillId="0" borderId="2" xfId="0" applyFont="1" applyBorder="1"/>
    <xf numFmtId="0" fontId="15" fillId="0" borderId="2" xfId="0" quotePrefix="1" applyFont="1" applyBorder="1" applyAlignment="1">
      <alignment horizontal="center"/>
    </xf>
    <xf numFmtId="0" fontId="9" fillId="3" borderId="2" xfId="0" applyFont="1" applyFill="1" applyBorder="1"/>
    <xf numFmtId="1" fontId="9" fillId="3" borderId="2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" fontId="0" fillId="3" borderId="2" xfId="0" applyNumberFormat="1" applyFill="1" applyBorder="1" applyAlignment="1">
      <alignment horizontal="right"/>
    </xf>
    <xf numFmtId="1" fontId="0" fillId="3" borderId="5" xfId="0" applyNumberFormat="1" applyFill="1" applyBorder="1" applyAlignment="1">
      <alignment horizontal="right"/>
    </xf>
    <xf numFmtId="1" fontId="5" fillId="3" borderId="4" xfId="0" applyNumberFormat="1" applyFont="1" applyFill="1" applyBorder="1" applyAlignment="1">
      <alignment horizontal="right"/>
    </xf>
    <xf numFmtId="1" fontId="5" fillId="3" borderId="2" xfId="0" applyNumberFormat="1" applyFont="1" applyFill="1" applyBorder="1" applyAlignment="1">
      <alignment horizontal="right"/>
    </xf>
    <xf numFmtId="1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67" fillId="3" borderId="2" xfId="3" applyFont="1" applyFill="1" applyBorder="1" applyAlignment="1">
      <alignment horizontal="left"/>
    </xf>
    <xf numFmtId="1" fontId="68" fillId="3" borderId="2" xfId="3" applyNumberFormat="1" applyFont="1" applyFill="1" applyBorder="1" applyAlignment="1">
      <alignment horizontal="center"/>
    </xf>
    <xf numFmtId="1" fontId="68" fillId="3" borderId="5" xfId="3" applyNumberFormat="1" applyFont="1" applyFill="1" applyBorder="1" applyAlignment="1">
      <alignment horizontal="center"/>
    </xf>
    <xf numFmtId="1" fontId="69" fillId="3" borderId="2" xfId="3" applyNumberFormat="1" applyFont="1" applyFill="1" applyBorder="1" applyAlignment="1">
      <alignment horizontal="center"/>
    </xf>
    <xf numFmtId="0" fontId="67" fillId="3" borderId="2" xfId="3" applyFont="1" applyFill="1" applyBorder="1" applyAlignment="1">
      <alignment horizontal="center"/>
    </xf>
    <xf numFmtId="1" fontId="70" fillId="3" borderId="2" xfId="3" applyNumberFormat="1" applyFont="1" applyFill="1" applyBorder="1" applyAlignment="1">
      <alignment horizontal="center"/>
    </xf>
    <xf numFmtId="0" fontId="71" fillId="3" borderId="2" xfId="3" applyFont="1" applyFill="1" applyBorder="1" applyAlignment="1">
      <alignment horizontal="left"/>
    </xf>
    <xf numFmtId="0" fontId="71" fillId="3" borderId="2" xfId="3" applyFont="1" applyFill="1" applyBorder="1" applyAlignment="1">
      <alignment horizontal="center"/>
    </xf>
    <xf numFmtId="0" fontId="72" fillId="3" borderId="2" xfId="3" applyFont="1" applyFill="1" applyBorder="1" applyAlignment="1">
      <alignment horizontal="center"/>
    </xf>
    <xf numFmtId="0" fontId="16" fillId="0" borderId="2" xfId="6" applyFont="1" applyBorder="1" applyAlignment="1">
      <alignment horizontal="center" vertical="top" wrapText="1"/>
    </xf>
    <xf numFmtId="0" fontId="18" fillId="0" borderId="2" xfId="6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/>
    <xf numFmtId="0" fontId="10" fillId="3" borderId="5" xfId="0" applyFont="1" applyFill="1" applyBorder="1" applyAlignment="1">
      <alignment horizontal="center"/>
    </xf>
    <xf numFmtId="0" fontId="65" fillId="3" borderId="2" xfId="6" applyFont="1" applyFill="1" applyBorder="1" applyAlignment="1">
      <alignment horizontal="left"/>
    </xf>
    <xf numFmtId="0" fontId="10" fillId="3" borderId="2" xfId="6" applyFont="1" applyFill="1" applyBorder="1" applyAlignment="1">
      <alignment horizontal="right"/>
    </xf>
    <xf numFmtId="0" fontId="5" fillId="3" borderId="2" xfId="6" applyFont="1" applyFill="1" applyBorder="1" applyAlignment="1">
      <alignment horizontal="right"/>
    </xf>
    <xf numFmtId="0" fontId="10" fillId="0" borderId="8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73" fillId="0" borderId="2" xfId="6" applyFont="1" applyBorder="1" applyAlignment="1">
      <alignment horizontal="left"/>
    </xf>
    <xf numFmtId="0" fontId="5" fillId="0" borderId="2" xfId="6" quotePrefix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/>
    <xf numFmtId="164" fontId="10" fillId="0" borderId="5" xfId="0" applyNumberFormat="1" applyFont="1" applyBorder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/>
    <xf numFmtId="0" fontId="5" fillId="0" borderId="2" xfId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/>
    </xf>
    <xf numFmtId="1" fontId="10" fillId="0" borderId="0" xfId="0" applyNumberFormat="1" applyFont="1"/>
    <xf numFmtId="0" fontId="10" fillId="0" borderId="2" xfId="0" applyFont="1" applyBorder="1" applyAlignment="1">
      <alignment horizontal="right"/>
    </xf>
    <xf numFmtId="1" fontId="0" fillId="0" borderId="0" xfId="0" applyNumberFormat="1"/>
    <xf numFmtId="2" fontId="10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0" fillId="0" borderId="0" xfId="0" applyFont="1"/>
    <xf numFmtId="0" fontId="5" fillId="0" borderId="2" xfId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2" fontId="10" fillId="0" borderId="0" xfId="0" applyNumberFormat="1" applyFont="1"/>
    <xf numFmtId="0" fontId="10" fillId="2" borderId="2" xfId="0" applyFont="1" applyFill="1" applyBorder="1" applyAlignment="1">
      <alignment horizontal="center"/>
    </xf>
    <xf numFmtId="2" fontId="10" fillId="2" borderId="2" xfId="0" applyNumberFormat="1" applyFont="1" applyFill="1" applyBorder="1" applyAlignment="1"/>
    <xf numFmtId="2" fontId="10" fillId="0" borderId="2" xfId="0" applyNumberFormat="1" applyFont="1" applyBorder="1"/>
    <xf numFmtId="2" fontId="10" fillId="2" borderId="2" xfId="0" applyNumberFormat="1" applyFont="1" applyFill="1" applyBorder="1" applyAlignment="1">
      <alignment horizontal="center"/>
    </xf>
    <xf numFmtId="2" fontId="10" fillId="4" borderId="0" xfId="0" applyNumberFormat="1" applyFont="1" applyFill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2" xfId="0" applyNumberFormat="1" applyBorder="1"/>
    <xf numFmtId="2" fontId="0" fillId="0" borderId="2" xfId="0" applyNumberFormat="1" applyBorder="1" applyAlignment="1">
      <alignment horizontal="center"/>
    </xf>
    <xf numFmtId="0" fontId="5" fillId="0" borderId="2" xfId="7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0" fillId="0" borderId="0" xfId="0" applyFont="1"/>
    <xf numFmtId="0" fontId="5" fillId="3" borderId="2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0" fontId="0" fillId="3" borderId="2" xfId="0" applyFill="1" applyBorder="1" applyAlignment="1">
      <alignment horizontal="center"/>
    </xf>
    <xf numFmtId="0" fontId="61" fillId="0" borderId="2" xfId="6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/>
    </xf>
    <xf numFmtId="1" fontId="10" fillId="3" borderId="2" xfId="0" applyNumberFormat="1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right"/>
    </xf>
    <xf numFmtId="0" fontId="37" fillId="0" borderId="2" xfId="0" quotePrefix="1" applyFont="1" applyBorder="1" applyAlignment="1">
      <alignment horizontal="center" wrapText="1"/>
    </xf>
    <xf numFmtId="1" fontId="52" fillId="0" borderId="0" xfId="0" applyNumberFormat="1" applyFont="1" applyAlignment="1">
      <alignment horizontal="center"/>
    </xf>
    <xf numFmtId="0" fontId="74" fillId="0" borderId="2" xfId="0" applyFont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5" fillId="0" borderId="2" xfId="1" applyFont="1" applyBorder="1" applyAlignment="1">
      <alignment horizontal="center" vertical="top" wrapText="1"/>
    </xf>
    <xf numFmtId="2" fontId="15" fillId="0" borderId="2" xfId="1" applyNumberFormat="1" applyFont="1" applyBorder="1" applyAlignment="1">
      <alignment horizontal="center"/>
    </xf>
    <xf numFmtId="2" fontId="15" fillId="3" borderId="2" xfId="1" applyNumberFormat="1" applyFont="1" applyFill="1" applyBorder="1" applyAlignment="1">
      <alignment horizontal="center"/>
    </xf>
    <xf numFmtId="2" fontId="15" fillId="0" borderId="2" xfId="1" applyNumberFormat="1" applyFont="1" applyFill="1" applyBorder="1" applyAlignment="1">
      <alignment horizontal="center"/>
    </xf>
    <xf numFmtId="2" fontId="15" fillId="0" borderId="2" xfId="1" applyNumberFormat="1" applyFont="1" applyBorder="1" applyAlignment="1">
      <alignment horizontal="center" wrapText="1"/>
    </xf>
    <xf numFmtId="2" fontId="10" fillId="0" borderId="2" xfId="1" applyNumberFormat="1" applyFont="1" applyBorder="1"/>
    <xf numFmtId="0" fontId="5" fillId="3" borderId="0" xfId="0" applyFont="1" applyFill="1" applyAlignment="1"/>
    <xf numFmtId="0" fontId="10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8" fillId="3" borderId="0" xfId="0" applyFont="1" applyFill="1" applyAlignment="1"/>
    <xf numFmtId="0" fontId="9" fillId="3" borderId="0" xfId="0" applyFont="1" applyFill="1"/>
    <xf numFmtId="0" fontId="5" fillId="3" borderId="2" xfId="0" applyFont="1" applyFill="1" applyBorder="1" applyAlignment="1">
      <alignment vertical="top" wrapText="1"/>
    </xf>
    <xf numFmtId="2" fontId="10" fillId="3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/>
    <xf numFmtId="2" fontId="5" fillId="3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center" vertical="top" wrapText="1"/>
    </xf>
    <xf numFmtId="1" fontId="10" fillId="3" borderId="5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1" fontId="10" fillId="3" borderId="6" xfId="0" applyNumberFormat="1" applyFont="1" applyFill="1" applyBorder="1"/>
    <xf numFmtId="1" fontId="70" fillId="3" borderId="6" xfId="3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10" fillId="0" borderId="0" xfId="0" applyNumberFormat="1" applyFont="1"/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5" fillId="3" borderId="2" xfId="0" applyFont="1" applyFill="1" applyBorder="1" applyAlignment="1">
      <alignment horizontal="center" vertical="top" wrapText="1"/>
    </xf>
    <xf numFmtId="1" fontId="5" fillId="0" borderId="0" xfId="0" applyNumberFormat="1" applyFo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1" fontId="10" fillId="4" borderId="0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0" fontId="5" fillId="0" borderId="5" xfId="0" applyFont="1" applyBorder="1"/>
    <xf numFmtId="1" fontId="10" fillId="0" borderId="0" xfId="0" applyNumberFormat="1" applyFont="1" applyBorder="1"/>
    <xf numFmtId="1" fontId="10" fillId="3" borderId="2" xfId="0" applyNumberFormat="1" applyFont="1" applyFill="1" applyBorder="1" applyAlignment="1">
      <alignment horizontal="right"/>
    </xf>
    <xf numFmtId="1" fontId="10" fillId="3" borderId="3" xfId="0" applyNumberFormat="1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10" fillId="3" borderId="2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0" fontId="10" fillId="3" borderId="5" xfId="0" applyFont="1" applyFill="1" applyBorder="1"/>
    <xf numFmtId="2" fontId="10" fillId="4" borderId="0" xfId="0" applyNumberFormat="1" applyFont="1" applyFill="1" applyBorder="1" applyAlignment="1">
      <alignment horizontal="center"/>
    </xf>
    <xf numFmtId="2" fontId="10" fillId="0" borderId="0" xfId="0" applyNumberFormat="1" applyFont="1" applyBorder="1"/>
    <xf numFmtId="0" fontId="13" fillId="0" borderId="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" fontId="70" fillId="3" borderId="3" xfId="3" applyNumberFormat="1" applyFont="1" applyFill="1" applyBorder="1" applyAlignment="1">
      <alignment horizontal="center"/>
    </xf>
    <xf numFmtId="1" fontId="70" fillId="3" borderId="8" xfId="3" applyNumberFormat="1" applyFont="1" applyFill="1" applyBorder="1" applyAlignment="1">
      <alignment horizontal="center"/>
    </xf>
    <xf numFmtId="1" fontId="10" fillId="3" borderId="0" xfId="0" applyNumberFormat="1" applyFont="1" applyFill="1"/>
    <xf numFmtId="0" fontId="39" fillId="0" borderId="2" xfId="0" quotePrefix="1" applyFont="1" applyBorder="1" applyAlignment="1">
      <alignment horizontal="center" wrapText="1"/>
    </xf>
    <xf numFmtId="0" fontId="39" fillId="0" borderId="5" xfId="0" quotePrefix="1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76" fillId="0" borderId="2" xfId="8" applyFont="1" applyBorder="1" applyAlignment="1">
      <alignment horizontal="center" vertical="top" wrapText="1"/>
    </xf>
    <xf numFmtId="0" fontId="77" fillId="0" borderId="2" xfId="0" applyFont="1" applyBorder="1" applyAlignment="1">
      <alignment horizontal="center" vertical="top"/>
    </xf>
    <xf numFmtId="0" fontId="76" fillId="0" borderId="2" xfId="0" quotePrefix="1" applyFont="1" applyBorder="1" applyAlignment="1">
      <alignment horizontal="center" vertical="top" wrapText="1"/>
    </xf>
    <xf numFmtId="0" fontId="77" fillId="0" borderId="2" xfId="0" applyFont="1" applyBorder="1"/>
    <xf numFmtId="0" fontId="77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10" fillId="3" borderId="2" xfId="0" applyFont="1" applyFill="1" applyBorder="1" applyAlignment="1"/>
    <xf numFmtId="0" fontId="37" fillId="0" borderId="2" xfId="0" quotePrefix="1" applyFont="1" applyBorder="1" applyAlignment="1">
      <alignment wrapText="1"/>
    </xf>
    <xf numFmtId="0" fontId="37" fillId="3" borderId="2" xfId="0" quotePrefix="1" applyFont="1" applyFill="1" applyBorder="1" applyAlignment="1">
      <alignment wrapText="1"/>
    </xf>
    <xf numFmtId="165" fontId="10" fillId="4" borderId="0" xfId="0" applyNumberFormat="1" applyFont="1" applyFill="1"/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center" vertical="top" wrapText="1"/>
    </xf>
    <xf numFmtId="165" fontId="10" fillId="3" borderId="0" xfId="0" applyNumberFormat="1" applyFont="1" applyFill="1" applyBorder="1"/>
    <xf numFmtId="2" fontId="10" fillId="3" borderId="0" xfId="0" applyNumberFormat="1" applyFont="1" applyFill="1" applyBorder="1"/>
    <xf numFmtId="0" fontId="22" fillId="0" borderId="2" xfId="1" applyFont="1" applyBorder="1" applyAlignment="1">
      <alignment horizontal="center" wrapText="1"/>
    </xf>
    <xf numFmtId="2" fontId="10" fillId="0" borderId="0" xfId="1" applyNumberFormat="1" applyFont="1"/>
    <xf numFmtId="0" fontId="16" fillId="0" borderId="2" xfId="3" applyFont="1" applyBorder="1" applyAlignment="1">
      <alignment horizontal="center"/>
    </xf>
    <xf numFmtId="0" fontId="16" fillId="0" borderId="5" xfId="3" applyFont="1" applyBorder="1" applyAlignment="1">
      <alignment horizontal="center"/>
    </xf>
    <xf numFmtId="0" fontId="10" fillId="0" borderId="4" xfId="3" applyBorder="1" applyAlignment="1">
      <alignment horizontal="center"/>
    </xf>
    <xf numFmtId="0" fontId="10" fillId="0" borderId="2" xfId="3" applyFill="1" applyBorder="1" applyAlignment="1">
      <alignment horizontal="left"/>
    </xf>
    <xf numFmtId="0" fontId="0" fillId="0" borderId="2" xfId="0" applyBorder="1" applyAlignment="1">
      <alignment wrapText="1"/>
    </xf>
    <xf numFmtId="2" fontId="39" fillId="0" borderId="2" xfId="0" quotePrefix="1" applyNumberFormat="1" applyFont="1" applyBorder="1" applyAlignment="1">
      <alignment horizontal="center" vertical="top" wrapText="1"/>
    </xf>
    <xf numFmtId="2" fontId="37" fillId="0" borderId="2" xfId="0" quotePrefix="1" applyNumberFormat="1" applyFont="1" applyBorder="1" applyAlignment="1">
      <alignment horizontal="center" wrapText="1"/>
    </xf>
    <xf numFmtId="2" fontId="10" fillId="0" borderId="2" xfId="0" applyNumberFormat="1" applyFont="1" applyBorder="1" applyAlignment="1"/>
    <xf numFmtId="2" fontId="37" fillId="0" borderId="2" xfId="0" quotePrefix="1" applyNumberFormat="1" applyFont="1" applyBorder="1" applyAlignment="1">
      <alignment wrapText="1"/>
    </xf>
    <xf numFmtId="0" fontId="39" fillId="0" borderId="6" xfId="0" quotePrefix="1" applyFont="1" applyBorder="1" applyAlignment="1">
      <alignment horizontal="center" vertical="top" wrapText="1"/>
    </xf>
    <xf numFmtId="0" fontId="39" fillId="0" borderId="1" xfId="0" quotePrefix="1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2" fontId="73" fillId="0" borderId="2" xfId="0" applyNumberFormat="1" applyFont="1" applyBorder="1" applyAlignment="1">
      <alignment horizontal="center"/>
    </xf>
    <xf numFmtId="2" fontId="78" fillId="0" borderId="2" xfId="0" applyNumberFormat="1" applyFont="1" applyBorder="1" applyAlignment="1">
      <alignment horizontal="center"/>
    </xf>
    <xf numFmtId="2" fontId="73" fillId="0" borderId="2" xfId="0" applyNumberFormat="1" applyFont="1" applyBorder="1"/>
    <xf numFmtId="2" fontId="78" fillId="0" borderId="2" xfId="0" applyNumberFormat="1" applyFont="1" applyBorder="1"/>
    <xf numFmtId="0" fontId="10" fillId="0" borderId="6" xfId="3" applyBorder="1" applyAlignment="1">
      <alignment horizontal="center"/>
    </xf>
    <xf numFmtId="0" fontId="10" fillId="0" borderId="3" xfId="3" applyBorder="1" applyAlignment="1">
      <alignment horizontal="center"/>
    </xf>
    <xf numFmtId="0" fontId="5" fillId="0" borderId="1" xfId="3" applyFont="1" applyBorder="1" applyAlignment="1">
      <alignment horizontal="center" vertical="top" wrapText="1"/>
    </xf>
    <xf numFmtId="0" fontId="10" fillId="0" borderId="0" xfId="3" applyFont="1"/>
    <xf numFmtId="0" fontId="5" fillId="0" borderId="0" xfId="0" applyFont="1" applyAlignment="1">
      <alignment horizontal="right" vertical="top" wrapText="1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/>
    <xf numFmtId="0" fontId="17" fillId="0" borderId="0" xfId="0" applyFont="1" applyAlignment="1">
      <alignment horizontal="left"/>
    </xf>
    <xf numFmtId="0" fontId="79" fillId="0" borderId="3" xfId="0" applyFont="1" applyBorder="1" applyAlignment="1">
      <alignment horizontal="left" wrapText="1"/>
    </xf>
    <xf numFmtId="0" fontId="79" fillId="0" borderId="3" xfId="0" applyFont="1" applyFill="1" applyBorder="1" applyAlignment="1">
      <alignment horizontal="left" wrapText="1"/>
    </xf>
    <xf numFmtId="0" fontId="80" fillId="0" borderId="3" xfId="0" applyFont="1" applyBorder="1" applyAlignment="1">
      <alignment horizontal="left" wrapText="1"/>
    </xf>
    <xf numFmtId="2" fontId="10" fillId="0" borderId="0" xfId="3" applyNumberFormat="1" applyFont="1"/>
    <xf numFmtId="2" fontId="10" fillId="0" borderId="2" xfId="3" applyNumberFormat="1" applyFont="1" applyBorder="1"/>
    <xf numFmtId="0" fontId="81" fillId="5" borderId="20" xfId="0" applyFont="1" applyFill="1" applyBorder="1"/>
    <xf numFmtId="0" fontId="65" fillId="3" borderId="5" xfId="6" applyFont="1" applyFill="1" applyBorder="1" applyAlignment="1">
      <alignment horizontal="left"/>
    </xf>
    <xf numFmtId="0" fontId="82" fillId="0" borderId="2" xfId="0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2" fontId="5" fillId="0" borderId="3" xfId="3" applyNumberFormat="1" applyFont="1" applyBorder="1" applyAlignment="1">
      <alignment horizontal="center"/>
    </xf>
    <xf numFmtId="2" fontId="5" fillId="0" borderId="0" xfId="0" applyNumberFormat="1" applyFont="1"/>
    <xf numFmtId="1" fontId="70" fillId="3" borderId="0" xfId="3" applyNumberFormat="1" applyFont="1" applyFill="1" applyBorder="1" applyAlignment="1">
      <alignment horizontal="center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7" xfId="0" applyFont="1" applyBorder="1" applyAlignment="1">
      <alignment horizontal="right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2" fontId="10" fillId="0" borderId="0" xfId="0" applyNumberFormat="1" applyFont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1" fontId="10" fillId="3" borderId="0" xfId="0" applyNumberFormat="1" applyFont="1" applyFill="1" applyBorder="1"/>
    <xf numFmtId="1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2" fontId="20" fillId="0" borderId="0" xfId="0" applyNumberFormat="1" applyFont="1" applyBorder="1" applyAlignment="1">
      <alignment horizontal="center"/>
    </xf>
    <xf numFmtId="2" fontId="10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/>
    <xf numFmtId="164" fontId="10" fillId="6" borderId="0" xfId="0" applyNumberFormat="1" applyFont="1" applyFill="1"/>
    <xf numFmtId="2" fontId="10" fillId="6" borderId="0" xfId="0" applyNumberFormat="1" applyFont="1" applyFill="1"/>
    <xf numFmtId="164" fontId="10" fillId="3" borderId="0" xfId="0" applyNumberFormat="1" applyFont="1" applyFill="1"/>
    <xf numFmtId="2" fontId="10" fillId="3" borderId="0" xfId="0" applyNumberFormat="1" applyFont="1" applyFill="1"/>
    <xf numFmtId="2" fontId="0" fillId="3" borderId="2" xfId="0" applyNumberFormat="1" applyFill="1" applyBorder="1"/>
    <xf numFmtId="0" fontId="83" fillId="0" borderId="2" xfId="0" applyFont="1" applyBorder="1"/>
    <xf numFmtId="0" fontId="16" fillId="3" borderId="2" xfId="5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/>
    </xf>
    <xf numFmtId="0" fontId="84" fillId="0" borderId="21" xfId="0" applyFont="1" applyBorder="1" applyAlignment="1"/>
    <xf numFmtId="0" fontId="60" fillId="0" borderId="21" xfId="0" applyFont="1" applyBorder="1" applyAlignment="1"/>
    <xf numFmtId="0" fontId="10" fillId="0" borderId="0" xfId="0" applyFont="1"/>
    <xf numFmtId="2" fontId="0" fillId="0" borderId="10" xfId="0" applyNumberFormat="1" applyFill="1" applyBorder="1" applyAlignment="1">
      <alignment horizontal="center"/>
    </xf>
    <xf numFmtId="0" fontId="10" fillId="3" borderId="4" xfId="3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0" fontId="18" fillId="0" borderId="0" xfId="6" applyFont="1"/>
    <xf numFmtId="0" fontId="16" fillId="0" borderId="0" xfId="6" applyFont="1"/>
    <xf numFmtId="0" fontId="9" fillId="0" borderId="0" xfId="6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10" fillId="0" borderId="15" xfId="3" applyBorder="1" applyAlignment="1">
      <alignment horizontal="center"/>
    </xf>
    <xf numFmtId="0" fontId="5" fillId="0" borderId="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3" fillId="0" borderId="0" xfId="0" applyFont="1"/>
    <xf numFmtId="0" fontId="13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 vertical="top" wrapText="1"/>
    </xf>
    <xf numFmtId="0" fontId="39" fillId="0" borderId="0" xfId="0" quotePrefix="1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165" fontId="10" fillId="3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10" fillId="0" borderId="0" xfId="0" applyFont="1"/>
    <xf numFmtId="0" fontId="17" fillId="0" borderId="0" xfId="0" applyFont="1" applyAlignment="1">
      <alignment horizontal="left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Border="1" applyAlignment="1">
      <alignment horizontal="right"/>
    </xf>
    <xf numFmtId="0" fontId="18" fillId="0" borderId="5" xfId="5" applyFont="1" applyBorder="1" applyAlignment="1">
      <alignment horizontal="center" vertical="top" wrapText="1"/>
    </xf>
    <xf numFmtId="0" fontId="16" fillId="0" borderId="6" xfId="5" applyFont="1" applyBorder="1" applyAlignment="1">
      <alignment horizontal="left" vertical="top" wrapText="1"/>
    </xf>
    <xf numFmtId="9" fontId="10" fillId="3" borderId="0" xfId="12" applyFont="1" applyFill="1" applyBorder="1"/>
    <xf numFmtId="2" fontId="10" fillId="0" borderId="0" xfId="0" applyNumberFormat="1" applyFont="1" applyBorder="1" applyAlignment="1">
      <alignment horizontal="left" wrapText="1"/>
    </xf>
    <xf numFmtId="2" fontId="10" fillId="3" borderId="0" xfId="0" applyNumberFormat="1" applyFont="1" applyFill="1" applyBorder="1" applyAlignment="1">
      <alignment horizontal="left" wrapText="1"/>
    </xf>
    <xf numFmtId="14" fontId="16" fillId="0" borderId="2" xfId="5" applyNumberFormat="1" applyFont="1" applyBorder="1" applyAlignment="1">
      <alignment horizontal="center" vertical="top" wrapText="1"/>
    </xf>
    <xf numFmtId="165" fontId="0" fillId="0" borderId="0" xfId="0" applyNumberFormat="1"/>
    <xf numFmtId="0" fontId="1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20" fillId="0" borderId="7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/>
    <xf numFmtId="0" fontId="17" fillId="0" borderId="0" xfId="0" applyFont="1" applyAlignment="1">
      <alignment horizontal="left"/>
    </xf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2" fontId="5" fillId="3" borderId="2" xfId="0" applyNumberFormat="1" applyFont="1" applyFill="1" applyBorder="1" applyAlignment="1">
      <alignment horizontal="center" vertical="top" wrapText="1"/>
    </xf>
    <xf numFmtId="2" fontId="5" fillId="3" borderId="2" xfId="0" applyNumberFormat="1" applyFont="1" applyFill="1" applyBorder="1"/>
    <xf numFmtId="2" fontId="10" fillId="0" borderId="0" xfId="4" applyNumberFormat="1"/>
    <xf numFmtId="2" fontId="0" fillId="0" borderId="0" xfId="0" applyNumberFormat="1" applyBorder="1"/>
    <xf numFmtId="164" fontId="0" fillId="0" borderId="0" xfId="0" applyNumberFormat="1"/>
    <xf numFmtId="2" fontId="12" fillId="0" borderId="2" xfId="4" applyNumberFormat="1" applyFont="1" applyBorder="1" applyAlignment="1">
      <alignment horizontal="center"/>
    </xf>
    <xf numFmtId="0" fontId="2" fillId="0" borderId="2" xfId="13" applyBorder="1" applyAlignment="1">
      <alignment horizontal="center"/>
    </xf>
    <xf numFmtId="0" fontId="8" fillId="0" borderId="0" xfId="3" applyFont="1" applyAlignment="1">
      <alignment horizontal="center"/>
    </xf>
    <xf numFmtId="0" fontId="20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top" wrapText="1"/>
    </xf>
    <xf numFmtId="0" fontId="10" fillId="0" borderId="0" xfId="3" applyBorder="1" applyAlignment="1">
      <alignment horizontal="center"/>
    </xf>
    <xf numFmtId="0" fontId="5" fillId="3" borderId="6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1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2" fontId="10" fillId="0" borderId="0" xfId="0" applyNumberFormat="1" applyFont="1" applyFill="1" applyBorder="1"/>
    <xf numFmtId="0" fontId="10" fillId="4" borderId="0" xfId="0" applyFont="1" applyFill="1" applyAlignment="1">
      <alignment horizontal="right"/>
    </xf>
    <xf numFmtId="0" fontId="65" fillId="3" borderId="5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 vertical="top" wrapText="1"/>
    </xf>
    <xf numFmtId="1" fontId="22" fillId="0" borderId="0" xfId="1" applyNumberFormat="1" applyFont="1"/>
    <xf numFmtId="2" fontId="22" fillId="0" borderId="0" xfId="1" applyNumberFormat="1" applyFont="1"/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1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82" fillId="0" borderId="0" xfId="0" applyFont="1" applyAlignment="1">
      <alignment horizontal="right"/>
    </xf>
    <xf numFmtId="2" fontId="50" fillId="0" borderId="2" xfId="1" applyNumberFormat="1" applyBorder="1"/>
    <xf numFmtId="0" fontId="1" fillId="0" borderId="2" xfId="20" applyBorder="1"/>
    <xf numFmtId="0" fontId="13" fillId="0" borderId="0" xfId="0" applyFont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/>
    </xf>
    <xf numFmtId="0" fontId="10" fillId="4" borderId="2" xfId="0" applyFont="1" applyFill="1" applyBorder="1"/>
    <xf numFmtId="164" fontId="22" fillId="0" borderId="0" xfId="1" applyNumberFormat="1" applyFont="1"/>
    <xf numFmtId="0" fontId="10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0" xfId="3" applyFont="1" applyAlignment="1">
      <alignment horizontal="center"/>
    </xf>
    <xf numFmtId="0" fontId="20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horizontal="left"/>
    </xf>
    <xf numFmtId="0" fontId="21" fillId="0" borderId="0" xfId="1" applyFont="1" applyBorder="1" applyAlignment="1">
      <alignment horizontal="center" vertical="top" wrapText="1"/>
    </xf>
    <xf numFmtId="0" fontId="23" fillId="0" borderId="0" xfId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2" fontId="50" fillId="0" borderId="0" xfId="1" applyNumberFormat="1" applyBorder="1"/>
    <xf numFmtId="2" fontId="10" fillId="0" borderId="0" xfId="3" applyNumberFormat="1" applyBorder="1" applyAlignment="1">
      <alignment horizontal="center"/>
    </xf>
    <xf numFmtId="1" fontId="10" fillId="0" borderId="0" xfId="3" applyNumberFormat="1" applyBorder="1" applyAlignment="1">
      <alignment horizontal="center"/>
    </xf>
    <xf numFmtId="0" fontId="10" fillId="3" borderId="2" xfId="3" applyFill="1" applyBorder="1" applyAlignment="1">
      <alignment horizontal="center"/>
    </xf>
    <xf numFmtId="0" fontId="2" fillId="3" borderId="2" xfId="13" applyFill="1" applyBorder="1" applyAlignment="1">
      <alignment horizontal="center"/>
    </xf>
    <xf numFmtId="0" fontId="10" fillId="3" borderId="2" xfId="3" applyFill="1" applyBorder="1"/>
    <xf numFmtId="0" fontId="10" fillId="3" borderId="5" xfId="3" applyFill="1" applyBorder="1"/>
    <xf numFmtId="0" fontId="5" fillId="3" borderId="2" xfId="0" applyFont="1" applyFill="1" applyBorder="1" applyAlignment="1">
      <alignment horizontal="right"/>
    </xf>
    <xf numFmtId="0" fontId="10" fillId="3" borderId="6" xfId="3" applyFill="1" applyBorder="1" applyAlignment="1">
      <alignment horizontal="center"/>
    </xf>
    <xf numFmtId="2" fontId="10" fillId="3" borderId="0" xfId="3" applyNumberFormat="1" applyFill="1" applyBorder="1" applyAlignment="1">
      <alignment horizontal="center"/>
    </xf>
    <xf numFmtId="1" fontId="10" fillId="3" borderId="0" xfId="3" applyNumberFormat="1" applyFill="1" applyBorder="1" applyAlignment="1">
      <alignment horizontal="center"/>
    </xf>
    <xf numFmtId="1" fontId="5" fillId="3" borderId="0" xfId="0" applyNumberFormat="1" applyFont="1" applyFill="1"/>
    <xf numFmtId="0" fontId="63" fillId="3" borderId="2" xfId="0" applyFont="1" applyFill="1" applyBorder="1"/>
    <xf numFmtId="0" fontId="84" fillId="0" borderId="21" xfId="0" applyFont="1" applyBorder="1" applyAlignment="1">
      <alignment wrapText="1"/>
    </xf>
    <xf numFmtId="0" fontId="60" fillId="0" borderId="21" xfId="0" applyFont="1" applyBorder="1" applyAlignment="1">
      <alignment wrapText="1"/>
    </xf>
    <xf numFmtId="0" fontId="51" fillId="7" borderId="21" xfId="0" applyFont="1" applyFill="1" applyBorder="1" applyAlignment="1">
      <alignment wrapText="1"/>
    </xf>
    <xf numFmtId="0" fontId="87" fillId="0" borderId="21" xfId="21" applyFont="1" applyBorder="1" applyAlignment="1" applyProtection="1">
      <alignment wrapText="1"/>
    </xf>
    <xf numFmtId="0" fontId="88" fillId="0" borderId="21" xfId="0" applyFont="1" applyBorder="1" applyAlignment="1">
      <alignment wrapText="1"/>
    </xf>
    <xf numFmtId="0" fontId="89" fillId="0" borderId="0" xfId="3" applyFont="1"/>
    <xf numFmtId="0" fontId="89" fillId="0" borderId="0" xfId="0" applyFont="1"/>
    <xf numFmtId="0" fontId="10" fillId="0" borderId="0" xfId="0" applyFont="1"/>
    <xf numFmtId="0" fontId="18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10" fillId="0" borderId="2" xfId="3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2" fontId="10" fillId="0" borderId="5" xfId="3" applyNumberFormat="1" applyFont="1" applyBorder="1" applyAlignment="1">
      <alignment horizontal="center"/>
    </xf>
    <xf numFmtId="2" fontId="10" fillId="0" borderId="6" xfId="3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0" fillId="0" borderId="2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0" fillId="0" borderId="5" xfId="0" quotePrefix="1" applyFont="1" applyBorder="1" applyAlignment="1">
      <alignment horizontal="center" vertical="top" wrapText="1"/>
    </xf>
    <xf numFmtId="0" fontId="20" fillId="0" borderId="6" xfId="0" quotePrefix="1" applyFont="1" applyBorder="1" applyAlignment="1">
      <alignment horizontal="center" vertical="top" wrapText="1"/>
    </xf>
    <xf numFmtId="0" fontId="20" fillId="0" borderId="9" xfId="0" quotePrefix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18" fillId="0" borderId="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2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5" fillId="0" borderId="0" xfId="5" applyFont="1" applyAlignment="1">
      <alignment horizontal="left"/>
    </xf>
    <xf numFmtId="0" fontId="15" fillId="0" borderId="5" xfId="5" applyFont="1" applyBorder="1" applyAlignment="1">
      <alignment horizontal="center" vertical="top" wrapText="1"/>
    </xf>
    <xf numFmtId="0" fontId="15" fillId="0" borderId="6" xfId="5" applyFont="1" applyBorder="1" applyAlignment="1">
      <alignment horizontal="center" vertical="top" wrapText="1"/>
    </xf>
    <xf numFmtId="0" fontId="16" fillId="0" borderId="0" xfId="5" applyFont="1" applyAlignment="1">
      <alignment horizontal="left"/>
    </xf>
    <xf numFmtId="0" fontId="9" fillId="0" borderId="0" xfId="3" applyFont="1" applyAlignment="1">
      <alignment horizontal="right" vertical="top" wrapText="1"/>
    </xf>
    <xf numFmtId="0" fontId="18" fillId="0" borderId="2" xfId="5" applyFont="1" applyBorder="1" applyAlignment="1">
      <alignment horizontal="center" vertical="top" wrapText="1"/>
    </xf>
    <xf numFmtId="0" fontId="18" fillId="0" borderId="2" xfId="5" applyFont="1" applyBorder="1" applyAlignment="1">
      <alignment horizontal="center" vertical="center" wrapText="1"/>
    </xf>
    <xf numFmtId="0" fontId="18" fillId="0" borderId="12" xfId="5" applyFont="1" applyBorder="1" applyAlignment="1">
      <alignment horizontal="center" vertical="top" wrapText="1"/>
    </xf>
    <xf numFmtId="0" fontId="18" fillId="0" borderId="13" xfId="5" applyFont="1" applyBorder="1" applyAlignment="1">
      <alignment horizontal="center" vertical="top" wrapText="1"/>
    </xf>
    <xf numFmtId="0" fontId="18" fillId="0" borderId="14" xfId="5" applyFont="1" applyBorder="1" applyAlignment="1">
      <alignment horizontal="center" vertical="top" wrapText="1"/>
    </xf>
    <xf numFmtId="0" fontId="18" fillId="0" borderId="8" xfId="5" applyFont="1" applyBorder="1" applyAlignment="1">
      <alignment horizontal="center" vertical="top" wrapText="1"/>
    </xf>
    <xf numFmtId="0" fontId="18" fillId="0" borderId="7" xfId="5" applyFont="1" applyBorder="1" applyAlignment="1">
      <alignment horizontal="center" vertical="top" wrapText="1"/>
    </xf>
    <xf numFmtId="0" fontId="18" fillId="0" borderId="15" xfId="5" applyFont="1" applyBorder="1" applyAlignment="1">
      <alignment horizontal="center" vertical="top" wrapText="1"/>
    </xf>
    <xf numFmtId="0" fontId="18" fillId="0" borderId="1" xfId="5" applyFont="1" applyBorder="1" applyAlignment="1">
      <alignment horizontal="center" vertical="center" wrapText="1"/>
    </xf>
    <xf numFmtId="0" fontId="18" fillId="0" borderId="10" xfId="5" applyFont="1" applyBorder="1" applyAlignment="1">
      <alignment horizontal="center" vertical="center" wrapText="1"/>
    </xf>
    <xf numFmtId="0" fontId="18" fillId="0" borderId="3" xfId="5" applyFont="1" applyBorder="1" applyAlignment="1">
      <alignment horizontal="center" vertical="center" wrapText="1"/>
    </xf>
    <xf numFmtId="0" fontId="18" fillId="0" borderId="12" xfId="5" applyFont="1" applyBorder="1" applyAlignment="1">
      <alignment horizontal="center" vertical="center" wrapText="1"/>
    </xf>
    <xf numFmtId="0" fontId="18" fillId="0" borderId="13" xfId="5" applyFont="1" applyBorder="1" applyAlignment="1">
      <alignment horizontal="center" vertical="center" wrapText="1"/>
    </xf>
    <xf numFmtId="0" fontId="18" fillId="0" borderId="14" xfId="5" applyFont="1" applyBorder="1" applyAlignment="1">
      <alignment horizontal="center" vertical="center" wrapText="1"/>
    </xf>
    <xf numFmtId="0" fontId="18" fillId="0" borderId="8" xfId="5" applyFont="1" applyBorder="1" applyAlignment="1">
      <alignment horizontal="center" vertical="center" wrapText="1"/>
    </xf>
    <xf numFmtId="0" fontId="18" fillId="0" borderId="7" xfId="5" applyFont="1" applyBorder="1" applyAlignment="1">
      <alignment horizontal="center" vertical="center" wrapText="1"/>
    </xf>
    <xf numFmtId="0" fontId="18" fillId="0" borderId="15" xfId="5" applyFont="1" applyBorder="1" applyAlignment="1">
      <alignment horizontal="center" vertical="center" wrapText="1"/>
    </xf>
    <xf numFmtId="0" fontId="14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29" fillId="0" borderId="0" xfId="3" applyFont="1" applyAlignment="1">
      <alignment horizontal="center"/>
    </xf>
    <xf numFmtId="0" fontId="34" fillId="0" borderId="0" xfId="3" applyFont="1" applyAlignment="1">
      <alignment horizontal="center"/>
    </xf>
    <xf numFmtId="0" fontId="20" fillId="0" borderId="7" xfId="5" applyFont="1" applyBorder="1" applyAlignment="1">
      <alignment horizontal="right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0" fillId="0" borderId="7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0" xfId="2" applyFont="1" applyAlignment="1">
      <alignment horizontal="center" vertical="top" wrapText="1"/>
    </xf>
    <xf numFmtId="0" fontId="49" fillId="0" borderId="0" xfId="0" applyFont="1" applyBorder="1" applyAlignment="1">
      <alignment horizontal="left"/>
    </xf>
    <xf numFmtId="0" fontId="10" fillId="0" borderId="0" xfId="0" applyFont="1"/>
    <xf numFmtId="0" fontId="1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11" fillId="0" borderId="0" xfId="1" applyFont="1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horizontal="right"/>
    </xf>
    <xf numFmtId="0" fontId="5" fillId="0" borderId="5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59" fillId="0" borderId="0" xfId="0" applyFont="1" applyBorder="1" applyAlignment="1">
      <alignment horizontal="center" vertical="top"/>
    </xf>
    <xf numFmtId="0" fontId="55" fillId="0" borderId="2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left"/>
    </xf>
    <xf numFmtId="0" fontId="55" fillId="0" borderId="1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3" xfId="0" applyFont="1" applyBorder="1" applyAlignment="1">
      <alignment horizontal="center" vertical="top" wrapText="1"/>
    </xf>
    <xf numFmtId="0" fontId="38" fillId="0" borderId="7" xfId="0" applyFont="1" applyBorder="1" applyAlignment="1">
      <alignment horizontal="right"/>
    </xf>
    <xf numFmtId="0" fontId="38" fillId="0" borderId="1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2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38" fillId="0" borderId="9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5" fillId="3" borderId="1" xfId="1" quotePrefix="1" applyFont="1" applyFill="1" applyBorder="1" applyAlignment="1">
      <alignment horizontal="center" vertical="center" wrapText="1"/>
    </xf>
    <xf numFmtId="0" fontId="5" fillId="3" borderId="3" xfId="1" quotePrefix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5" fillId="0" borderId="13" xfId="1" applyFont="1" applyBorder="1" applyAlignment="1">
      <alignment horizontal="center" vertical="top" wrapText="1"/>
    </xf>
    <xf numFmtId="0" fontId="5" fillId="3" borderId="5" xfId="1" quotePrefix="1" applyFont="1" applyFill="1" applyBorder="1" applyAlignment="1">
      <alignment horizontal="center" vertical="center" wrapText="1"/>
    </xf>
    <xf numFmtId="0" fontId="5" fillId="3" borderId="9" xfId="1" quotePrefix="1" applyFont="1" applyFill="1" applyBorder="1" applyAlignment="1">
      <alignment horizontal="center" vertical="center" wrapText="1"/>
    </xf>
    <xf numFmtId="0" fontId="5" fillId="3" borderId="6" xfId="1" quotePrefix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5" fillId="0" borderId="0" xfId="1" applyFont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9" fillId="0" borderId="0" xfId="0" applyFont="1" applyBorder="1" applyAlignment="1">
      <alignment horizontal="center"/>
    </xf>
    <xf numFmtId="0" fontId="51" fillId="0" borderId="2" xfId="0" applyFont="1" applyBorder="1" applyAlignment="1">
      <alignment horizontal="center" vertical="top" wrapText="1"/>
    </xf>
    <xf numFmtId="0" fontId="20" fillId="3" borderId="7" xfId="0" applyFont="1" applyFill="1" applyBorder="1" applyAlignment="1">
      <alignment horizontal="right"/>
    </xf>
    <xf numFmtId="0" fontId="51" fillId="3" borderId="5" xfId="0" applyFont="1" applyFill="1" applyBorder="1" applyAlignment="1">
      <alignment horizontal="center" vertical="top" wrapText="1"/>
    </xf>
    <xf numFmtId="0" fontId="51" fillId="3" borderId="9" xfId="0" applyFont="1" applyFill="1" applyBorder="1" applyAlignment="1">
      <alignment horizontal="center" vertical="top" wrapText="1"/>
    </xf>
    <xf numFmtId="0" fontId="51" fillId="3" borderId="6" xfId="0" applyFont="1" applyFill="1" applyBorder="1" applyAlignment="1">
      <alignment horizontal="center" vertical="top" wrapText="1"/>
    </xf>
    <xf numFmtId="0" fontId="13" fillId="0" borderId="7" xfId="0" applyFont="1" applyBorder="1" applyAlignment="1">
      <alignment horizontal="right"/>
    </xf>
    <xf numFmtId="0" fontId="48" fillId="0" borderId="7" xfId="0" applyFont="1" applyBorder="1" applyAlignment="1">
      <alignment horizontal="right"/>
    </xf>
    <xf numFmtId="0" fontId="77" fillId="0" borderId="1" xfId="0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9" fillId="0" borderId="0" xfId="3" applyFont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9" fillId="0" borderId="0" xfId="3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3" applyAlignment="1">
      <alignment horizontal="center"/>
    </xf>
    <xf numFmtId="0" fontId="11" fillId="0" borderId="0" xfId="3" applyFont="1" applyAlignment="1">
      <alignment horizontal="center"/>
    </xf>
    <xf numFmtId="0" fontId="5" fillId="0" borderId="5" xfId="3" applyFont="1" applyBorder="1" applyAlignment="1">
      <alignment horizontal="center" vertical="top"/>
    </xf>
    <xf numFmtId="0" fontId="5" fillId="0" borderId="9" xfId="3" applyFont="1" applyBorder="1" applyAlignment="1">
      <alignment horizontal="center" vertical="top"/>
    </xf>
    <xf numFmtId="0" fontId="5" fillId="0" borderId="2" xfId="3" applyFont="1" applyBorder="1" applyAlignment="1">
      <alignment horizontal="center" vertical="top"/>
    </xf>
    <xf numFmtId="0" fontId="5" fillId="0" borderId="1" xfId="3" applyFont="1" applyBorder="1" applyAlignment="1">
      <alignment horizontal="center" vertical="top" wrapText="1"/>
    </xf>
    <xf numFmtId="0" fontId="5" fillId="0" borderId="3" xfId="3" applyFont="1" applyBorder="1" applyAlignment="1">
      <alignment horizontal="center" vertical="top" wrapText="1"/>
    </xf>
    <xf numFmtId="0" fontId="9" fillId="0" borderId="5" xfId="3" applyFont="1" applyBorder="1" applyAlignment="1">
      <alignment horizontal="center" vertical="top"/>
    </xf>
    <xf numFmtId="0" fontId="9" fillId="0" borderId="9" xfId="3" applyFont="1" applyBorder="1" applyAlignment="1">
      <alignment horizontal="center" vertical="top"/>
    </xf>
    <xf numFmtId="0" fontId="9" fillId="0" borderId="16" xfId="3" applyFont="1" applyBorder="1" applyAlignment="1">
      <alignment horizontal="center" vertical="top"/>
    </xf>
    <xf numFmtId="0" fontId="7" fillId="0" borderId="0" xfId="3" applyFont="1" applyAlignment="1">
      <alignment horizontal="center"/>
    </xf>
    <xf numFmtId="0" fontId="10" fillId="0" borderId="0" xfId="3" applyAlignment="1">
      <alignment horizontal="left"/>
    </xf>
    <xf numFmtId="0" fontId="5" fillId="0" borderId="5" xfId="3" applyFont="1" applyBorder="1" applyAlignment="1">
      <alignment horizontal="center" vertical="top" wrapText="1"/>
    </xf>
    <xf numFmtId="0" fontId="5" fillId="0" borderId="9" xfId="3" applyFont="1" applyBorder="1" applyAlignment="1">
      <alignment horizontal="center" vertical="top" wrapText="1"/>
    </xf>
    <xf numFmtId="0" fontId="5" fillId="0" borderId="6" xfId="3" applyFont="1" applyBorder="1" applyAlignment="1">
      <alignment horizontal="center" vertical="top" wrapText="1"/>
    </xf>
    <xf numFmtId="0" fontId="35" fillId="0" borderId="0" xfId="0" applyFont="1" applyAlignment="1">
      <alignment horizontal="right"/>
    </xf>
    <xf numFmtId="0" fontId="38" fillId="0" borderId="0" xfId="0" applyFont="1" applyAlignment="1">
      <alignment horizontal="center" wrapText="1"/>
    </xf>
    <xf numFmtId="0" fontId="18" fillId="0" borderId="0" xfId="1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5" fillId="3" borderId="2" xfId="1" quotePrefix="1" applyFont="1" applyFill="1" applyBorder="1" applyAlignment="1">
      <alignment horizontal="center" vertical="center" wrapText="1"/>
    </xf>
    <xf numFmtId="0" fontId="20" fillId="0" borderId="0" xfId="1" applyFont="1" applyAlignment="1">
      <alignment horizontal="right"/>
    </xf>
    <xf numFmtId="0" fontId="5" fillId="3" borderId="5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6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left"/>
    </xf>
    <xf numFmtId="0" fontId="55" fillId="0" borderId="12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0" xfId="0" applyFont="1" applyAlignment="1">
      <alignment horizontal="righ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9" fillId="0" borderId="0" xfId="6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0" fillId="4" borderId="0" xfId="0" applyFont="1" applyFill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right"/>
    </xf>
    <xf numFmtId="0" fontId="5" fillId="3" borderId="2" xfId="0" applyFont="1" applyFill="1" applyBorder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 wrapText="1"/>
    </xf>
    <xf numFmtId="0" fontId="46" fillId="0" borderId="0" xfId="1" applyFont="1" applyAlignment="1">
      <alignment horizontal="center"/>
    </xf>
    <xf numFmtId="0" fontId="25" fillId="0" borderId="1" xfId="1" applyFont="1" applyBorder="1" applyAlignment="1">
      <alignment horizontal="center" vertical="top" wrapText="1"/>
    </xf>
    <xf numFmtId="0" fontId="25" fillId="0" borderId="3" xfId="1" applyFont="1" applyBorder="1" applyAlignment="1">
      <alignment horizontal="center" vertical="top" wrapText="1"/>
    </xf>
    <xf numFmtId="0" fontId="25" fillId="0" borderId="5" xfId="1" applyFont="1" applyBorder="1" applyAlignment="1">
      <alignment horizontal="center" vertical="top" wrapText="1"/>
    </xf>
    <xf numFmtId="0" fontId="25" fillId="0" borderId="9" xfId="1" applyFont="1" applyBorder="1" applyAlignment="1">
      <alignment horizontal="center" vertical="top" wrapText="1"/>
    </xf>
    <xf numFmtId="0" fontId="25" fillId="0" borderId="14" xfId="1" applyFont="1" applyBorder="1" applyAlignment="1">
      <alignment horizontal="center" vertical="top" wrapText="1"/>
    </xf>
    <xf numFmtId="0" fontId="25" fillId="0" borderId="2" xfId="1" applyFont="1" applyBorder="1" applyAlignment="1">
      <alignment horizontal="center" vertical="top" wrapText="1"/>
    </xf>
    <xf numFmtId="0" fontId="25" fillId="0" borderId="6" xfId="1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top" wrapText="1"/>
    </xf>
    <xf numFmtId="0" fontId="32" fillId="0" borderId="0" xfId="1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24" fillId="0" borderId="2" xfId="1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vertical="top" wrapText="1"/>
    </xf>
    <xf numFmtId="0" fontId="24" fillId="0" borderId="3" xfId="1" applyFont="1" applyBorder="1" applyAlignment="1">
      <alignment horizontal="center" vertical="top" wrapText="1"/>
    </xf>
    <xf numFmtId="0" fontId="23" fillId="0" borderId="1" xfId="1" applyFont="1" applyBorder="1" applyAlignment="1">
      <alignment horizontal="center" vertical="top" wrapText="1"/>
    </xf>
    <xf numFmtId="0" fontId="23" fillId="0" borderId="3" xfId="1" applyFont="1" applyBorder="1" applyAlignment="1">
      <alignment horizontal="center" vertical="top" wrapText="1"/>
    </xf>
    <xf numFmtId="0" fontId="23" fillId="0" borderId="5" xfId="1" applyFont="1" applyBorder="1" applyAlignment="1">
      <alignment horizontal="center" vertical="top" wrapText="1"/>
    </xf>
    <xf numFmtId="0" fontId="23" fillId="0" borderId="9" xfId="1" applyFont="1" applyBorder="1" applyAlignment="1">
      <alignment horizontal="center" vertical="top" wrapText="1"/>
    </xf>
    <xf numFmtId="0" fontId="23" fillId="0" borderId="6" xfId="1" applyFont="1" applyBorder="1" applyAlignment="1">
      <alignment horizontal="center" vertical="top" wrapText="1"/>
    </xf>
    <xf numFmtId="0" fontId="21" fillId="0" borderId="5" xfId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0" fontId="15" fillId="0" borderId="0" xfId="0" applyFont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3" fillId="0" borderId="1" xfId="1" applyFont="1" applyBorder="1" applyAlignment="1">
      <alignment horizontal="center" vertical="top"/>
    </xf>
    <xf numFmtId="0" fontId="23" fillId="0" borderId="10" xfId="1" applyFont="1" applyBorder="1" applyAlignment="1">
      <alignment horizontal="center" vertical="top"/>
    </xf>
    <xf numFmtId="0" fontId="23" fillId="0" borderId="3" xfId="1" applyFont="1" applyBorder="1" applyAlignment="1">
      <alignment horizontal="center" vertical="top"/>
    </xf>
    <xf numFmtId="0" fontId="25" fillId="0" borderId="10" xfId="1" applyFont="1" applyBorder="1" applyAlignment="1">
      <alignment horizontal="center" vertical="top" wrapText="1"/>
    </xf>
    <xf numFmtId="0" fontId="23" fillId="0" borderId="2" xfId="1" applyFont="1" applyBorder="1" applyAlignment="1">
      <alignment horizontal="center" wrapText="1"/>
    </xf>
    <xf numFmtId="0" fontId="23" fillId="0" borderId="5" xfId="1" applyFont="1" applyBorder="1" applyAlignment="1">
      <alignment horizontal="center" wrapText="1"/>
    </xf>
    <xf numFmtId="0" fontId="23" fillId="0" borderId="9" xfId="1" applyFont="1" applyBorder="1" applyAlignment="1">
      <alignment horizontal="center" wrapText="1"/>
    </xf>
    <xf numFmtId="0" fontId="23" fillId="0" borderId="6" xfId="1" applyFont="1" applyBorder="1" applyAlignment="1">
      <alignment horizontal="center" wrapText="1"/>
    </xf>
    <xf numFmtId="0" fontId="26" fillId="0" borderId="0" xfId="1" applyFont="1" applyAlignment="1">
      <alignment horizontal="center"/>
    </xf>
    <xf numFmtId="0" fontId="25" fillId="0" borderId="12" xfId="1" applyFont="1" applyBorder="1" applyAlignment="1">
      <alignment horizontal="center" vertical="top" wrapText="1"/>
    </xf>
    <xf numFmtId="0" fontId="25" fillId="0" borderId="11" xfId="1" applyFont="1" applyBorder="1" applyAlignment="1">
      <alignment horizontal="center" vertical="top" wrapText="1"/>
    </xf>
    <xf numFmtId="0" fontId="25" fillId="0" borderId="17" xfId="1" applyFont="1" applyBorder="1" applyAlignment="1">
      <alignment horizontal="center" vertical="top" wrapText="1"/>
    </xf>
    <xf numFmtId="0" fontId="5" fillId="0" borderId="0" xfId="4" applyFont="1" applyAlignment="1">
      <alignment horizontal="left"/>
    </xf>
    <xf numFmtId="0" fontId="10" fillId="0" borderId="0" xfId="4" applyAlignment="1">
      <alignment horizontal="left"/>
    </xf>
    <xf numFmtId="0" fontId="9" fillId="0" borderId="0" xfId="4" applyFont="1" applyAlignment="1">
      <alignment horizontal="right" vertical="top" wrapText="1"/>
    </xf>
    <xf numFmtId="0" fontId="9" fillId="0" borderId="0" xfId="4" applyFont="1" applyAlignment="1">
      <alignment horizontal="center" vertical="top" wrapText="1"/>
    </xf>
    <xf numFmtId="0" fontId="6" fillId="0" borderId="0" xfId="4" applyFont="1" applyAlignment="1">
      <alignment horizontal="right"/>
    </xf>
    <xf numFmtId="0" fontId="7" fillId="0" borderId="0" xfId="4" applyFont="1" applyAlignment="1">
      <alignment horizontal="center"/>
    </xf>
    <xf numFmtId="0" fontId="8" fillId="0" borderId="0" xfId="4" applyFont="1" applyAlignment="1">
      <alignment horizontal="center"/>
    </xf>
    <xf numFmtId="0" fontId="20" fillId="0" borderId="5" xfId="4" applyFont="1" applyBorder="1" applyAlignment="1">
      <alignment horizontal="center" vertical="top" wrapText="1"/>
    </xf>
    <xf numFmtId="0" fontId="20" fillId="0" borderId="9" xfId="4" applyFont="1" applyBorder="1" applyAlignment="1">
      <alignment horizontal="center" vertical="top" wrapText="1"/>
    </xf>
    <xf numFmtId="0" fontId="20" fillId="0" borderId="6" xfId="4" applyFont="1" applyBorder="1" applyAlignment="1">
      <alignment horizontal="center" vertical="top" wrapText="1"/>
    </xf>
    <xf numFmtId="0" fontId="20" fillId="0" borderId="7" xfId="4" applyFont="1" applyBorder="1" applyAlignment="1">
      <alignment horizontal="center"/>
    </xf>
    <xf numFmtId="0" fontId="20" fillId="0" borderId="1" xfId="4" applyFont="1" applyBorder="1" applyAlignment="1">
      <alignment horizontal="center" vertical="top" wrapText="1"/>
    </xf>
    <xf numFmtId="0" fontId="20" fillId="0" borderId="3" xfId="4" applyFont="1" applyBorder="1" applyAlignment="1">
      <alignment horizontal="center" vertical="top" wrapText="1"/>
    </xf>
    <xf numFmtId="0" fontId="20" fillId="0" borderId="5" xfId="4" applyFont="1" applyBorder="1" applyAlignment="1">
      <alignment horizontal="center" vertical="top"/>
    </xf>
    <xf numFmtId="0" fontId="20" fillId="0" borderId="9" xfId="4" applyFont="1" applyBorder="1" applyAlignment="1">
      <alignment horizontal="center" vertical="top"/>
    </xf>
    <xf numFmtId="0" fontId="20" fillId="0" borderId="6" xfId="4" applyFont="1" applyBorder="1" applyAlignment="1">
      <alignment horizontal="center" vertical="top"/>
    </xf>
    <xf numFmtId="0" fontId="20" fillId="0" borderId="12" xfId="4" applyFont="1" applyBorder="1" applyAlignment="1">
      <alignment horizontal="center" vertical="top" wrapText="1"/>
    </xf>
    <xf numFmtId="0" fontId="20" fillId="0" borderId="13" xfId="4" applyFont="1" applyBorder="1" applyAlignment="1">
      <alignment horizontal="center" vertical="top" wrapText="1"/>
    </xf>
    <xf numFmtId="0" fontId="20" fillId="0" borderId="14" xfId="4" applyFont="1" applyBorder="1" applyAlignment="1">
      <alignment horizontal="center" vertical="top" wrapText="1"/>
    </xf>
    <xf numFmtId="0" fontId="20" fillId="0" borderId="8" xfId="4" applyFont="1" applyBorder="1" applyAlignment="1">
      <alignment horizontal="center" vertical="top" wrapText="1"/>
    </xf>
    <xf numFmtId="0" fontId="20" fillId="0" borderId="7" xfId="4" applyFont="1" applyBorder="1" applyAlignment="1">
      <alignment horizontal="center" vertical="top" wrapText="1"/>
    </xf>
    <xf numFmtId="0" fontId="20" fillId="0" borderId="15" xfId="4" applyFont="1" applyBorder="1" applyAlignment="1">
      <alignment horizontal="center" vertical="top" wrapText="1"/>
    </xf>
    <xf numFmtId="0" fontId="10" fillId="0" borderId="0" xfId="4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11" fillId="0" borderId="5" xfId="4" applyFont="1" applyBorder="1" applyAlignment="1">
      <alignment horizontal="center" vertical="top" wrapText="1"/>
    </xf>
    <xf numFmtId="0" fontId="11" fillId="0" borderId="6" xfId="4" applyFont="1" applyBorder="1" applyAlignment="1">
      <alignment horizontal="center" vertical="top" wrapText="1"/>
    </xf>
    <xf numFmtId="0" fontId="10" fillId="0" borderId="0" xfId="3" applyFont="1"/>
    <xf numFmtId="0" fontId="5" fillId="0" borderId="0" xfId="3" applyFont="1" applyAlignment="1">
      <alignment horizontal="center" vertical="top" wrapText="1"/>
    </xf>
    <xf numFmtId="0" fontId="5" fillId="0" borderId="2" xfId="3" applyFont="1" applyBorder="1" applyAlignment="1">
      <alignment horizontal="center" vertical="center"/>
    </xf>
    <xf numFmtId="0" fontId="5" fillId="0" borderId="0" xfId="3" applyFont="1" applyAlignment="1">
      <alignment horizontal="right" vertical="top" wrapText="1"/>
    </xf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15" fillId="0" borderId="0" xfId="3" applyFont="1" applyAlignment="1">
      <alignment horizontal="center"/>
    </xf>
    <xf numFmtId="0" fontId="8" fillId="0" borderId="0" xfId="3" applyFont="1" applyAlignment="1">
      <alignment horizontal="center" wrapText="1"/>
    </xf>
    <xf numFmtId="0" fontId="20" fillId="0" borderId="7" xfId="3" applyFont="1" applyBorder="1" applyAlignment="1">
      <alignment horizontal="right"/>
    </xf>
  </cellXfs>
  <cellStyles count="22">
    <cellStyle name="Hyperlink" xfId="21" builtinId="8"/>
    <cellStyle name="Normal" xfId="0" builtinId="0"/>
    <cellStyle name="Normal 10" xfId="6"/>
    <cellStyle name="Normal 2" xfId="1"/>
    <cellStyle name="Normal 2 2" xfId="2"/>
    <cellStyle name="Normal 2 2 2" xfId="14"/>
    <cellStyle name="Normal 2 2 5" xfId="8"/>
    <cellStyle name="Normal 2 2 5 2" xfId="16"/>
    <cellStyle name="Normal 2 2 7" xfId="11"/>
    <cellStyle name="Normal 2 2 7 2" xfId="18"/>
    <cellStyle name="Normal 2 3" xfId="7"/>
    <cellStyle name="Normal 2 3 2" xfId="15"/>
    <cellStyle name="Normal 2 4" xfId="19"/>
    <cellStyle name="Normal 2 7" xfId="10"/>
    <cellStyle name="Normal 3" xfId="3"/>
    <cellStyle name="Normal 3 2" xfId="4"/>
    <cellStyle name="Normal 4" xfId="5"/>
    <cellStyle name="Normal 5" xfId="13"/>
    <cellStyle name="Normal 5 3" xfId="9"/>
    <cellStyle name="Normal 5 3 2" xfId="17"/>
    <cellStyle name="Normal 6" xfId="20"/>
    <cellStyle name="Percent" xfId="1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/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2019-20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State/UT__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Rajsthan_________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_03-06-2019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727753</xdr:colOff>
      <xdr:row>26</xdr:row>
      <xdr:rowOff>0</xdr:rowOff>
    </xdr:from>
    <xdr:ext cx="4284298" cy="938661"/>
    <xdr:sp macro="" textlink="">
      <xdr:nvSpPr>
        <xdr:cNvPr id="2" name="Rectangle 1"/>
        <xdr:cNvSpPr/>
      </xdr:nvSpPr>
      <xdr:spPr>
        <a:xfrm rot="9299429" flipV="1">
          <a:off x="3456826" y="5843427"/>
          <a:ext cx="4284298" cy="938661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NIL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55499</xdr:colOff>
      <xdr:row>18</xdr:row>
      <xdr:rowOff>19589</xdr:rowOff>
    </xdr:from>
    <xdr:ext cx="4935601" cy="937629"/>
    <xdr:sp macro="" textlink="">
      <xdr:nvSpPr>
        <xdr:cNvPr id="2" name="Rectangle 1"/>
        <xdr:cNvSpPr/>
      </xdr:nvSpPr>
      <xdr:spPr>
        <a:xfrm rot="19436905">
          <a:off x="1979549" y="3858164"/>
          <a:ext cx="493560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152401</xdr:colOff>
      <xdr:row>14</xdr:row>
      <xdr:rowOff>178452</xdr:rowOff>
    </xdr:from>
    <xdr:to>
      <xdr:col>16</xdr:col>
      <xdr:colOff>390525</xdr:colOff>
      <xdr:row>30</xdr:row>
      <xdr:rowOff>90538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4126" y="3702702"/>
          <a:ext cx="7543799" cy="302676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623661</xdr:colOff>
      <xdr:row>9</xdr:row>
      <xdr:rowOff>0</xdr:rowOff>
    </xdr:from>
    <xdr:to>
      <xdr:col>14</xdr:col>
      <xdr:colOff>494846</xdr:colOff>
      <xdr:row>24</xdr:row>
      <xdr:rowOff>89354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70804" y="2902857"/>
          <a:ext cx="7559221" cy="3071586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190500</xdr:rowOff>
    </xdr:from>
    <xdr:to>
      <xdr:col>6</xdr:col>
      <xdr:colOff>571500</xdr:colOff>
      <xdr:row>26</xdr:row>
      <xdr:rowOff>161925</xdr:rowOff>
    </xdr:to>
    <xdr:pic>
      <xdr:nvPicPr>
        <xdr:cNvPr id="286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48000"/>
          <a:ext cx="7581900" cy="30861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613833</xdr:colOff>
      <xdr:row>14</xdr:row>
      <xdr:rowOff>52916</xdr:rowOff>
    </xdr:from>
    <xdr:to>
      <xdr:col>16</xdr:col>
      <xdr:colOff>213783</xdr:colOff>
      <xdr:row>30</xdr:row>
      <xdr:rowOff>119591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9083" y="3587749"/>
          <a:ext cx="7664450" cy="3114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/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2018-19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878417</xdr:colOff>
      <xdr:row>14</xdr:row>
      <xdr:rowOff>95250</xdr:rowOff>
    </xdr:from>
    <xdr:to>
      <xdr:col>8</xdr:col>
      <xdr:colOff>1083734</xdr:colOff>
      <xdr:row>36</xdr:row>
      <xdr:rowOff>86783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5834" y="3302000"/>
          <a:ext cx="6449483" cy="39497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435959</xdr:colOff>
      <xdr:row>20</xdr:row>
      <xdr:rowOff>152400</xdr:rowOff>
    </xdr:from>
    <xdr:ext cx="1897666" cy="966743"/>
    <xdr:sp macro="" textlink="">
      <xdr:nvSpPr>
        <xdr:cNvPr id="2" name="Rectangle 1"/>
        <xdr:cNvSpPr/>
      </xdr:nvSpPr>
      <xdr:spPr>
        <a:xfrm>
          <a:off x="3655409" y="4248150"/>
          <a:ext cx="1897666" cy="9667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solidFill>
                  <a:schemeClr val="accent4">
                    <a:shade val="50000"/>
                    <a:satMod val="120000"/>
                  </a:schemeClr>
                </a:solidFill>
                <a:prstDash val="solid"/>
              </a:ln>
              <a:gradFill>
                <a:gsLst>
                  <a:gs pos="0">
                    <a:schemeClr val="accent4">
                      <a:shade val="20000"/>
                      <a:satMod val="245000"/>
                    </a:schemeClr>
                  </a:gs>
                  <a:gs pos="43000">
                    <a:schemeClr val="accent4">
                      <a:satMod val="255000"/>
                    </a:schemeClr>
                  </a:gs>
                  <a:gs pos="48000">
                    <a:schemeClr val="accent4">
                      <a:shade val="85000"/>
                      <a:satMod val="255000"/>
                    </a:schemeClr>
                  </a:gs>
                  <a:gs pos="100000">
                    <a:schemeClr val="accent4">
                      <a:shade val="20000"/>
                      <a:satMod val="245000"/>
                    </a:schemeClr>
                  </a:gs>
                </a:gsLst>
                <a:lin ang="5400000"/>
              </a:gradFill>
              <a:effectLst>
                <a:reflection blurRad="12700" stA="28000" endPos="45000" dist="1000" dir="5400000" sy="-100000" algn="bl" rotWithShape="0"/>
              </a:effectLst>
            </a:rPr>
            <a:t>NIL</a:t>
          </a:r>
        </a:p>
      </xdr:txBody>
    </xdr:sp>
    <xdr:clientData/>
  </xdr:oneCellAnchor>
  <xdr:oneCellAnchor>
    <xdr:from>
      <xdr:col>5</xdr:col>
      <xdr:colOff>674624</xdr:colOff>
      <xdr:row>21</xdr:row>
      <xdr:rowOff>19589</xdr:rowOff>
    </xdr:from>
    <xdr:ext cx="184730" cy="937629"/>
    <xdr:sp macro="" textlink="">
      <xdr:nvSpPr>
        <xdr:cNvPr id="3" name="Rectangle 2"/>
        <xdr:cNvSpPr/>
      </xdr:nvSpPr>
      <xdr:spPr>
        <a:xfrm>
          <a:off x="3894074" y="42772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504825</xdr:colOff>
      <xdr:row>14</xdr:row>
      <xdr:rowOff>152400</xdr:rowOff>
    </xdr:from>
    <xdr:to>
      <xdr:col>9</xdr:col>
      <xdr:colOff>142875</xdr:colOff>
      <xdr:row>20</xdr:row>
      <xdr:rowOff>104775</xdr:rowOff>
    </xdr:to>
    <xdr:cxnSp macro="">
      <xdr:nvCxnSpPr>
        <xdr:cNvPr id="4" name="Straight Connector 3"/>
        <xdr:cNvCxnSpPr/>
      </xdr:nvCxnSpPr>
      <xdr:spPr>
        <a:xfrm flipV="1">
          <a:off x="5505450" y="3276600"/>
          <a:ext cx="1276350" cy="923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27</xdr:row>
      <xdr:rowOff>85725</xdr:rowOff>
    </xdr:from>
    <xdr:to>
      <xdr:col>5</xdr:col>
      <xdr:colOff>638175</xdr:colOff>
      <xdr:row>32</xdr:row>
      <xdr:rowOff>133351</xdr:rowOff>
    </xdr:to>
    <xdr:cxnSp macro="">
      <xdr:nvCxnSpPr>
        <xdr:cNvPr id="5" name="Straight Connector 4"/>
        <xdr:cNvCxnSpPr/>
      </xdr:nvCxnSpPr>
      <xdr:spPr>
        <a:xfrm flipV="1">
          <a:off x="2543175" y="5314950"/>
          <a:ext cx="1314450" cy="8572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179978</xdr:colOff>
      <xdr:row>17</xdr:row>
      <xdr:rowOff>20933</xdr:rowOff>
    </xdr:from>
    <xdr:to>
      <xdr:col>7</xdr:col>
      <xdr:colOff>983902</xdr:colOff>
      <xdr:row>34</xdr:row>
      <xdr:rowOff>75658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7396" y="4260081"/>
          <a:ext cx="4435984" cy="2786621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102015</xdr:colOff>
      <xdr:row>19</xdr:row>
      <xdr:rowOff>31751</xdr:rowOff>
    </xdr:from>
    <xdr:to>
      <xdr:col>8</xdr:col>
      <xdr:colOff>209801</xdr:colOff>
      <xdr:row>32</xdr:row>
      <xdr:rowOff>150813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1078" y="4492626"/>
          <a:ext cx="3536786" cy="218281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90715</xdr:rowOff>
    </xdr:from>
    <xdr:to>
      <xdr:col>8</xdr:col>
      <xdr:colOff>342900</xdr:colOff>
      <xdr:row>33</xdr:row>
      <xdr:rowOff>170090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5179" y="3390447"/>
          <a:ext cx="4504417" cy="336776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309564</xdr:colOff>
      <xdr:row>10</xdr:row>
      <xdr:rowOff>87356</xdr:rowOff>
    </xdr:from>
    <xdr:to>
      <xdr:col>9</xdr:col>
      <xdr:colOff>484384</xdr:colOff>
      <xdr:row>31</xdr:row>
      <xdr:rowOff>178593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0220" y="2397169"/>
          <a:ext cx="6389883" cy="409173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357187</xdr:colOff>
      <xdr:row>21</xdr:row>
      <xdr:rowOff>59532</xdr:rowOff>
    </xdr:from>
    <xdr:ext cx="4284298" cy="938661"/>
    <xdr:sp macro="" textlink="">
      <xdr:nvSpPr>
        <xdr:cNvPr id="2" name="Rectangle 1"/>
        <xdr:cNvSpPr/>
      </xdr:nvSpPr>
      <xdr:spPr>
        <a:xfrm rot="9299429" flipV="1">
          <a:off x="3059906" y="4881563"/>
          <a:ext cx="4284298" cy="938661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NIL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__doPostBack('ctl00$ContentPlaceHolder1$Grd_tot_detail$ctl10$hypjune','')" TargetMode="External"/><Relationship Id="rId299" Type="http://schemas.openxmlformats.org/officeDocument/2006/relationships/hyperlink" Target="javascript:__doPostBack('ctl00$ContentPlaceHolder1$Grd_tot_detail$ctl23$hypSeptember','')" TargetMode="External"/><Relationship Id="rId21" Type="http://schemas.openxmlformats.org/officeDocument/2006/relationships/hyperlink" Target="javascript:__doPostBack('ctl00$ContentPlaceHolder1$Grd_tot_detail$ctl03$hypAugust','')" TargetMode="External"/><Relationship Id="rId63" Type="http://schemas.openxmlformats.org/officeDocument/2006/relationships/hyperlink" Target="javascript:__doPostBack('ctl00$ContentPlaceHolder1$Grd_tot_detail$ctl06$hypAugust','')" TargetMode="External"/><Relationship Id="rId159" Type="http://schemas.openxmlformats.org/officeDocument/2006/relationships/hyperlink" Target="javascript:__doPostBack('ctl00$ContentPlaceHolder1$Grd_tot_detail$ctl13$hypjune','')" TargetMode="External"/><Relationship Id="rId324" Type="http://schemas.openxmlformats.org/officeDocument/2006/relationships/hyperlink" Target="javascript:__doPostBack('ctl00$ContentPlaceHolder1$Grd_tot_detail$ctl25$hypjune','')" TargetMode="External"/><Relationship Id="rId366" Type="http://schemas.openxmlformats.org/officeDocument/2006/relationships/hyperlink" Target="javascript:__doPostBack('ctl00$ContentPlaceHolder1$Grd_tot_detail$ctl28$hypjune','')" TargetMode="External"/><Relationship Id="rId170" Type="http://schemas.openxmlformats.org/officeDocument/2006/relationships/hyperlink" Target="javascript:__doPostBack('ctl00$ContentPlaceHolder1$Grd_tot_detail$ctl14$hypapr','')" TargetMode="External"/><Relationship Id="rId226" Type="http://schemas.openxmlformats.org/officeDocument/2006/relationships/hyperlink" Target="javascript:__doPostBack('ctl00$ContentPlaceHolder1$Grd_tot_detail$ctl18$hypapr','')" TargetMode="External"/><Relationship Id="rId433" Type="http://schemas.openxmlformats.org/officeDocument/2006/relationships/hyperlink" Target="javascript:__doPostBack('ctl00$ContentPlaceHolder1$Grd_tot_detail$ctl33$lbtnfreezsch','')" TargetMode="External"/><Relationship Id="rId268" Type="http://schemas.openxmlformats.org/officeDocument/2006/relationships/hyperlink" Target="javascript:__doPostBack('ctl00$ContentPlaceHolder1$Grd_tot_detail$ctl21$hypapr','')" TargetMode="External"/><Relationship Id="rId32" Type="http://schemas.openxmlformats.org/officeDocument/2006/relationships/hyperlink" Target="javascript:__doPostBack('ctl00$ContentPlaceHolder1$Grd_tot_detail$ctl04$hypmay','')" TargetMode="External"/><Relationship Id="rId74" Type="http://schemas.openxmlformats.org/officeDocument/2006/relationships/hyperlink" Target="javascript:__doPostBack('ctl00$ContentPlaceHolder1$Grd_tot_detail$ctl07$hypmay','')" TargetMode="External"/><Relationship Id="rId128" Type="http://schemas.openxmlformats.org/officeDocument/2006/relationships/hyperlink" Target="javascript:__doPostBack('ctl00$ContentPlaceHolder1$Grd_tot_detail$ctl11$lbtnfreezsch','')" TargetMode="External"/><Relationship Id="rId335" Type="http://schemas.openxmlformats.org/officeDocument/2006/relationships/hyperlink" Target="javascript:__doPostBack('ctl00$ContentPlaceHolder1$Grd_tot_detail$ctl26$lbtnfreezsch','')" TargetMode="External"/><Relationship Id="rId377" Type="http://schemas.openxmlformats.org/officeDocument/2006/relationships/hyperlink" Target="javascript:__doPostBack('ctl00$ContentPlaceHolder1$Grd_tot_detail$ctl29$lbtnfreezsch','')" TargetMode="External"/><Relationship Id="rId5" Type="http://schemas.openxmlformats.org/officeDocument/2006/relationships/hyperlink" Target="javascript:__doPostBack('ctl00$ContentPlaceHolder1$Grd_tot_detail$ctl02$hypjune','')" TargetMode="External"/><Relationship Id="rId181" Type="http://schemas.openxmlformats.org/officeDocument/2006/relationships/hyperlink" Target="javascript:__doPostBack('ctl00$ContentPlaceHolder1$Grd_tot_detail$ctl14$hypMarch','')" TargetMode="External"/><Relationship Id="rId237" Type="http://schemas.openxmlformats.org/officeDocument/2006/relationships/hyperlink" Target="javascript:__doPostBack('ctl00$ContentPlaceHolder1$Grd_tot_detail$ctl18$hypMarch','')" TargetMode="External"/><Relationship Id="rId402" Type="http://schemas.openxmlformats.org/officeDocument/2006/relationships/hyperlink" Target="javascript:__doPostBack('ctl00$ContentPlaceHolder1$Grd_tot_detail$ctl30$hypFeb','')" TargetMode="External"/><Relationship Id="rId279" Type="http://schemas.openxmlformats.org/officeDocument/2006/relationships/hyperlink" Target="javascript:__doPostBack('ctl00$ContentPlaceHolder1$Grd_tot_detail$ctl22$lbtnttlsch','')" TargetMode="External"/><Relationship Id="rId444" Type="http://schemas.openxmlformats.org/officeDocument/2006/relationships/hyperlink" Target="javascript:__doPostBack('ctl00$ContentPlaceHolder1$Grd_tot_detail$ctl33$hypFeb','')" TargetMode="External"/><Relationship Id="rId43" Type="http://schemas.openxmlformats.org/officeDocument/2006/relationships/hyperlink" Target="javascript:__doPostBack('ctl00$ContentPlaceHolder1$Grd_tot_detail$ctl05$lbtnttlsch','')" TargetMode="External"/><Relationship Id="rId139" Type="http://schemas.openxmlformats.org/officeDocument/2006/relationships/hyperlink" Target="javascript:__doPostBack('ctl00$ContentPlaceHolder1$Grd_tot_detail$ctl11$hypFeb','')" TargetMode="External"/><Relationship Id="rId290" Type="http://schemas.openxmlformats.org/officeDocument/2006/relationships/hyperlink" Target="javascript:__doPostBack('ctl00$ContentPlaceHolder1$Grd_tot_detail$ctl22$hypJanuary','')" TargetMode="External"/><Relationship Id="rId304" Type="http://schemas.openxmlformats.org/officeDocument/2006/relationships/hyperlink" Target="javascript:__doPostBack('ctl00$ContentPlaceHolder1$Grd_tot_detail$ctl23$hypFeb','')" TargetMode="External"/><Relationship Id="rId346" Type="http://schemas.openxmlformats.org/officeDocument/2006/relationships/hyperlink" Target="javascript:__doPostBack('ctl00$ContentPlaceHolder1$Grd_tot_detail$ctl26$hypFeb','')" TargetMode="External"/><Relationship Id="rId388" Type="http://schemas.openxmlformats.org/officeDocument/2006/relationships/hyperlink" Target="javascript:__doPostBack('ctl00$ContentPlaceHolder1$Grd_tot_detail$ctl29$hypFeb','')" TargetMode="External"/><Relationship Id="rId85" Type="http://schemas.openxmlformats.org/officeDocument/2006/relationships/hyperlink" Target="javascript:__doPostBack('ctl00$ContentPlaceHolder1$Grd_tot_detail$ctl08$lbtnttlsch','')" TargetMode="External"/><Relationship Id="rId150" Type="http://schemas.openxmlformats.org/officeDocument/2006/relationships/hyperlink" Target="javascript:__doPostBack('ctl00$ContentPlaceHolder1$Grd_tot_detail$ctl12$hypNovember','')" TargetMode="External"/><Relationship Id="rId192" Type="http://schemas.openxmlformats.org/officeDocument/2006/relationships/hyperlink" Target="javascript:__doPostBack('ctl00$ContentPlaceHolder1$Grd_tot_detail$ctl15$hypDecember','')" TargetMode="External"/><Relationship Id="rId206" Type="http://schemas.openxmlformats.org/officeDocument/2006/relationships/hyperlink" Target="javascript:__doPostBack('ctl00$ContentPlaceHolder1$Grd_tot_detail$ctl16$hypDecember','')" TargetMode="External"/><Relationship Id="rId413" Type="http://schemas.openxmlformats.org/officeDocument/2006/relationships/hyperlink" Target="javascript:__doPostBack('ctl00$ContentPlaceHolder1$Grd_tot_detail$ctl31$hypNovember','')" TargetMode="External"/><Relationship Id="rId248" Type="http://schemas.openxmlformats.org/officeDocument/2006/relationships/hyperlink" Target="javascript:__doPostBack('ctl00$ContentPlaceHolder1$Grd_tot_detail$ctl19$hypDecember','')" TargetMode="External"/><Relationship Id="rId455" Type="http://schemas.openxmlformats.org/officeDocument/2006/relationships/hyperlink" Target="javascript:__doPostBack('ctl00$ContentPlaceHolder1$Grd_tot_detail$ctl34$hypNovember','')" TargetMode="External"/><Relationship Id="rId12" Type="http://schemas.openxmlformats.org/officeDocument/2006/relationships/hyperlink" Target="javascript:__doPostBack('ctl00$ContentPlaceHolder1$Grd_tot_detail$ctl02$hypJanuary','')" TargetMode="External"/><Relationship Id="rId108" Type="http://schemas.openxmlformats.org/officeDocument/2006/relationships/hyperlink" Target="javascript:__doPostBack('ctl00$ContentPlaceHolder1$Grd_tot_detail$ctl09$hypNovember','')" TargetMode="External"/><Relationship Id="rId315" Type="http://schemas.openxmlformats.org/officeDocument/2006/relationships/hyperlink" Target="javascript:__doPostBack('ctl00$ContentPlaceHolder1$Grd_tot_detail$ctl24$hypNovember','')" TargetMode="External"/><Relationship Id="rId357" Type="http://schemas.openxmlformats.org/officeDocument/2006/relationships/hyperlink" Target="javascript:__doPostBack('ctl00$ContentPlaceHolder1$Grd_tot_detail$ctl27$hypNovember','')" TargetMode="External"/><Relationship Id="rId54" Type="http://schemas.openxmlformats.org/officeDocument/2006/relationships/hyperlink" Target="javascript:__doPostBack('ctl00$ContentPlaceHolder1$Grd_tot_detail$ctl05$hypJanuary','')" TargetMode="External"/><Relationship Id="rId96" Type="http://schemas.openxmlformats.org/officeDocument/2006/relationships/hyperlink" Target="javascript:__doPostBack('ctl00$ContentPlaceHolder1$Grd_tot_detail$ctl08$hypJanuary','')" TargetMode="External"/><Relationship Id="rId161" Type="http://schemas.openxmlformats.org/officeDocument/2006/relationships/hyperlink" Target="javascript:__doPostBack('ctl00$ContentPlaceHolder1$Grd_tot_detail$ctl13$hypAugust','')" TargetMode="External"/><Relationship Id="rId217" Type="http://schemas.openxmlformats.org/officeDocument/2006/relationships/hyperlink" Target="javascript:__doPostBack('ctl00$ContentPlaceHolder1$Grd_tot_detail$ctl17$hypSeptember','')" TargetMode="External"/><Relationship Id="rId399" Type="http://schemas.openxmlformats.org/officeDocument/2006/relationships/hyperlink" Target="javascript:__doPostBack('ctl00$ContentPlaceHolder1$Grd_tot_detail$ctl30$hypNovember','')" TargetMode="External"/><Relationship Id="rId259" Type="http://schemas.openxmlformats.org/officeDocument/2006/relationships/hyperlink" Target="javascript:__doPostBack('ctl00$ContentPlaceHolder1$Grd_tot_detail$ctl20$hypSeptember','')" TargetMode="External"/><Relationship Id="rId424" Type="http://schemas.openxmlformats.org/officeDocument/2006/relationships/hyperlink" Target="javascript:__doPostBack('ctl00$ContentPlaceHolder1$Grd_tot_detail$ctl32$hypAugust','')" TargetMode="External"/><Relationship Id="rId23" Type="http://schemas.openxmlformats.org/officeDocument/2006/relationships/hyperlink" Target="javascript:__doPostBack('ctl00$ContentPlaceHolder1$Grd_tot_detail$ctl03$hypOcteber','')" TargetMode="External"/><Relationship Id="rId119" Type="http://schemas.openxmlformats.org/officeDocument/2006/relationships/hyperlink" Target="javascript:__doPostBack('ctl00$ContentPlaceHolder1$Grd_tot_detail$ctl10$hypAugust','')" TargetMode="External"/><Relationship Id="rId270" Type="http://schemas.openxmlformats.org/officeDocument/2006/relationships/hyperlink" Target="javascript:__doPostBack('ctl00$ContentPlaceHolder1$Grd_tot_detail$ctl21$hypjune','')" TargetMode="External"/><Relationship Id="rId291" Type="http://schemas.openxmlformats.org/officeDocument/2006/relationships/hyperlink" Target="javascript:__doPostBack('ctl00$ContentPlaceHolder1$Grd_tot_detail$ctl22$hypFeb','')" TargetMode="External"/><Relationship Id="rId305" Type="http://schemas.openxmlformats.org/officeDocument/2006/relationships/hyperlink" Target="javascript:__doPostBack('ctl00$ContentPlaceHolder1$Grd_tot_detail$ctl23$hypMarch','')" TargetMode="External"/><Relationship Id="rId326" Type="http://schemas.openxmlformats.org/officeDocument/2006/relationships/hyperlink" Target="javascript:__doPostBack('ctl00$ContentPlaceHolder1$Grd_tot_detail$ctl25$hypAugust','')" TargetMode="External"/><Relationship Id="rId347" Type="http://schemas.openxmlformats.org/officeDocument/2006/relationships/hyperlink" Target="javascript:__doPostBack('ctl00$ContentPlaceHolder1$Grd_tot_detail$ctl26$hypMarch','')" TargetMode="External"/><Relationship Id="rId44" Type="http://schemas.openxmlformats.org/officeDocument/2006/relationships/hyperlink" Target="javascript:__doPostBack('ctl00$ContentPlaceHolder1$Grd_tot_detail$ctl05$lbtnfreezsch','')" TargetMode="External"/><Relationship Id="rId65" Type="http://schemas.openxmlformats.org/officeDocument/2006/relationships/hyperlink" Target="javascript:__doPostBack('ctl00$ContentPlaceHolder1$Grd_tot_detail$ctl06$hypOcteber','')" TargetMode="External"/><Relationship Id="rId86" Type="http://schemas.openxmlformats.org/officeDocument/2006/relationships/hyperlink" Target="javascript:__doPostBack('ctl00$ContentPlaceHolder1$Grd_tot_detail$ctl08$lbtnfreezsch','')" TargetMode="External"/><Relationship Id="rId130" Type="http://schemas.openxmlformats.org/officeDocument/2006/relationships/hyperlink" Target="javascript:__doPostBack('ctl00$ContentPlaceHolder1$Grd_tot_detail$ctl11$hypmay','')" TargetMode="External"/><Relationship Id="rId151" Type="http://schemas.openxmlformats.org/officeDocument/2006/relationships/hyperlink" Target="javascript:__doPostBack('ctl00$ContentPlaceHolder1$Grd_tot_detail$ctl12$hypDecember','')" TargetMode="External"/><Relationship Id="rId368" Type="http://schemas.openxmlformats.org/officeDocument/2006/relationships/hyperlink" Target="javascript:__doPostBack('ctl00$ContentPlaceHolder1$Grd_tot_detail$ctl28$hypAugust','')" TargetMode="External"/><Relationship Id="rId389" Type="http://schemas.openxmlformats.org/officeDocument/2006/relationships/hyperlink" Target="javascript:__doPostBack('ctl00$ContentPlaceHolder1$Grd_tot_detail$ctl29$hypMarch','')" TargetMode="External"/><Relationship Id="rId172" Type="http://schemas.openxmlformats.org/officeDocument/2006/relationships/hyperlink" Target="javascript:__doPostBack('ctl00$ContentPlaceHolder1$Grd_tot_detail$ctl14$hypjune','')" TargetMode="External"/><Relationship Id="rId193" Type="http://schemas.openxmlformats.org/officeDocument/2006/relationships/hyperlink" Target="javascript:__doPostBack('ctl00$ContentPlaceHolder1$Grd_tot_detail$ctl15$hypJanuary','')" TargetMode="External"/><Relationship Id="rId207" Type="http://schemas.openxmlformats.org/officeDocument/2006/relationships/hyperlink" Target="javascript:__doPostBack('ctl00$ContentPlaceHolder1$Grd_tot_detail$ctl16$hypJanuary','')" TargetMode="External"/><Relationship Id="rId228" Type="http://schemas.openxmlformats.org/officeDocument/2006/relationships/hyperlink" Target="javascript:__doPostBack('ctl00$ContentPlaceHolder1$Grd_tot_detail$ctl18$hypjune','')" TargetMode="External"/><Relationship Id="rId249" Type="http://schemas.openxmlformats.org/officeDocument/2006/relationships/hyperlink" Target="javascript:__doPostBack('ctl00$ContentPlaceHolder1$Grd_tot_detail$ctl19$hypJanuary','')" TargetMode="External"/><Relationship Id="rId414" Type="http://schemas.openxmlformats.org/officeDocument/2006/relationships/hyperlink" Target="javascript:__doPostBack('ctl00$ContentPlaceHolder1$Grd_tot_detail$ctl31$hypDecember','')" TargetMode="External"/><Relationship Id="rId435" Type="http://schemas.openxmlformats.org/officeDocument/2006/relationships/hyperlink" Target="javascript:__doPostBack('ctl00$ContentPlaceHolder1$Grd_tot_detail$ctl33$hypmay','')" TargetMode="External"/><Relationship Id="rId456" Type="http://schemas.openxmlformats.org/officeDocument/2006/relationships/hyperlink" Target="javascript:__doPostBack('ctl00$ContentPlaceHolder1$Grd_tot_detail$ctl34$hypDecember','')" TargetMode="External"/><Relationship Id="rId13" Type="http://schemas.openxmlformats.org/officeDocument/2006/relationships/hyperlink" Target="javascript:__doPostBack('ctl00$ContentPlaceHolder1$Grd_tot_detail$ctl02$hypFeb','')" TargetMode="External"/><Relationship Id="rId109" Type="http://schemas.openxmlformats.org/officeDocument/2006/relationships/hyperlink" Target="javascript:__doPostBack('ctl00$ContentPlaceHolder1$Grd_tot_detail$ctl09$hypDecember','')" TargetMode="External"/><Relationship Id="rId260" Type="http://schemas.openxmlformats.org/officeDocument/2006/relationships/hyperlink" Target="javascript:__doPostBack('ctl00$ContentPlaceHolder1$Grd_tot_detail$ctl20$hypOcteber','')" TargetMode="External"/><Relationship Id="rId281" Type="http://schemas.openxmlformats.org/officeDocument/2006/relationships/hyperlink" Target="javascript:__doPostBack('ctl00$ContentPlaceHolder1$Grd_tot_detail$ctl22$hypapr','')" TargetMode="External"/><Relationship Id="rId316" Type="http://schemas.openxmlformats.org/officeDocument/2006/relationships/hyperlink" Target="javascript:__doPostBack('ctl00$ContentPlaceHolder1$Grd_tot_detail$ctl24$hypDecember','')" TargetMode="External"/><Relationship Id="rId337" Type="http://schemas.openxmlformats.org/officeDocument/2006/relationships/hyperlink" Target="javascript:__doPostBack('ctl00$ContentPlaceHolder1$Grd_tot_detail$ctl26$hypmay','')" TargetMode="External"/><Relationship Id="rId34" Type="http://schemas.openxmlformats.org/officeDocument/2006/relationships/hyperlink" Target="javascript:__doPostBack('ctl00$ContentPlaceHolder1$Grd_tot_detail$ctl04$hypjuly','')" TargetMode="External"/><Relationship Id="rId55" Type="http://schemas.openxmlformats.org/officeDocument/2006/relationships/hyperlink" Target="javascript:__doPostBack('ctl00$ContentPlaceHolder1$Grd_tot_detail$ctl05$hypFeb','')" TargetMode="External"/><Relationship Id="rId76" Type="http://schemas.openxmlformats.org/officeDocument/2006/relationships/hyperlink" Target="javascript:__doPostBack('ctl00$ContentPlaceHolder1$Grd_tot_detail$ctl07$hypjuly','')" TargetMode="External"/><Relationship Id="rId97" Type="http://schemas.openxmlformats.org/officeDocument/2006/relationships/hyperlink" Target="javascript:__doPostBack('ctl00$ContentPlaceHolder1$Grd_tot_detail$ctl08$hypFeb','')" TargetMode="External"/><Relationship Id="rId120" Type="http://schemas.openxmlformats.org/officeDocument/2006/relationships/hyperlink" Target="javascript:__doPostBack('ctl00$ContentPlaceHolder1$Grd_tot_detail$ctl10$hypSeptember','')" TargetMode="External"/><Relationship Id="rId141" Type="http://schemas.openxmlformats.org/officeDocument/2006/relationships/hyperlink" Target="javascript:__doPostBack('ctl00$ContentPlaceHolder1$Grd_tot_detail$ctl12$lbtnttlsch','')" TargetMode="External"/><Relationship Id="rId358" Type="http://schemas.openxmlformats.org/officeDocument/2006/relationships/hyperlink" Target="javascript:__doPostBack('ctl00$ContentPlaceHolder1$Grd_tot_detail$ctl27$hypDecember','')" TargetMode="External"/><Relationship Id="rId379" Type="http://schemas.openxmlformats.org/officeDocument/2006/relationships/hyperlink" Target="javascript:__doPostBack('ctl00$ContentPlaceHolder1$Grd_tot_detail$ctl29$hypmay','')" TargetMode="External"/><Relationship Id="rId7" Type="http://schemas.openxmlformats.org/officeDocument/2006/relationships/hyperlink" Target="javascript:__doPostBack('ctl00$ContentPlaceHolder1$Grd_tot_detail$ctl02$hypAugust','')" TargetMode="External"/><Relationship Id="rId162" Type="http://schemas.openxmlformats.org/officeDocument/2006/relationships/hyperlink" Target="javascript:__doPostBack('ctl00$ContentPlaceHolder1$Grd_tot_detail$ctl13$hypSeptember','')" TargetMode="External"/><Relationship Id="rId183" Type="http://schemas.openxmlformats.org/officeDocument/2006/relationships/hyperlink" Target="javascript:__doPostBack('ctl00$ContentPlaceHolder1$Grd_tot_detail$ctl15$lbtnfreezsch','')" TargetMode="External"/><Relationship Id="rId218" Type="http://schemas.openxmlformats.org/officeDocument/2006/relationships/hyperlink" Target="javascript:__doPostBack('ctl00$ContentPlaceHolder1$Grd_tot_detail$ctl17$hypOcteber','')" TargetMode="External"/><Relationship Id="rId239" Type="http://schemas.openxmlformats.org/officeDocument/2006/relationships/hyperlink" Target="javascript:__doPostBack('ctl00$ContentPlaceHolder1$Grd_tot_detail$ctl19$lbtnfreezsch','')" TargetMode="External"/><Relationship Id="rId390" Type="http://schemas.openxmlformats.org/officeDocument/2006/relationships/hyperlink" Target="javascript:__doPostBack('ctl00$ContentPlaceHolder1$Grd_tot_detail$ctl30$lbtnttlsch','')" TargetMode="External"/><Relationship Id="rId404" Type="http://schemas.openxmlformats.org/officeDocument/2006/relationships/hyperlink" Target="javascript:__doPostBack('ctl00$ContentPlaceHolder1$Grd_tot_detail$ctl31$lbtnttlsch','')" TargetMode="External"/><Relationship Id="rId425" Type="http://schemas.openxmlformats.org/officeDocument/2006/relationships/hyperlink" Target="javascript:__doPostBack('ctl00$ContentPlaceHolder1$Grd_tot_detail$ctl32$hypSeptember','')" TargetMode="External"/><Relationship Id="rId446" Type="http://schemas.openxmlformats.org/officeDocument/2006/relationships/hyperlink" Target="javascript:__doPostBack('ctl00$ContentPlaceHolder1$Grd_tot_detail$ctl34$lbtnttlsch','')" TargetMode="External"/><Relationship Id="rId250" Type="http://schemas.openxmlformats.org/officeDocument/2006/relationships/hyperlink" Target="javascript:__doPostBack('ctl00$ContentPlaceHolder1$Grd_tot_detail$ctl19$hypFeb','')" TargetMode="External"/><Relationship Id="rId271" Type="http://schemas.openxmlformats.org/officeDocument/2006/relationships/hyperlink" Target="javascript:__doPostBack('ctl00$ContentPlaceHolder1$Grd_tot_detail$ctl21$hypjuly','')" TargetMode="External"/><Relationship Id="rId292" Type="http://schemas.openxmlformats.org/officeDocument/2006/relationships/hyperlink" Target="javascript:__doPostBack('ctl00$ContentPlaceHolder1$Grd_tot_detail$ctl23$lbtnttlsch','')" TargetMode="External"/><Relationship Id="rId306" Type="http://schemas.openxmlformats.org/officeDocument/2006/relationships/hyperlink" Target="javascript:__doPostBack('ctl00$ContentPlaceHolder1$Grd_tot_detail$ctl24$lbtnttlsch','')" TargetMode="External"/><Relationship Id="rId24" Type="http://schemas.openxmlformats.org/officeDocument/2006/relationships/hyperlink" Target="javascript:__doPostBack('ctl00$ContentPlaceHolder1$Grd_tot_detail$ctl03$hypNovember','')" TargetMode="External"/><Relationship Id="rId45" Type="http://schemas.openxmlformats.org/officeDocument/2006/relationships/hyperlink" Target="javascript:__doPostBack('ctl00$ContentPlaceHolder1$Grd_tot_detail$ctl05$hypapr','')" TargetMode="External"/><Relationship Id="rId66" Type="http://schemas.openxmlformats.org/officeDocument/2006/relationships/hyperlink" Target="javascript:__doPostBack('ctl00$ContentPlaceHolder1$Grd_tot_detail$ctl06$hypNovember','')" TargetMode="External"/><Relationship Id="rId87" Type="http://schemas.openxmlformats.org/officeDocument/2006/relationships/hyperlink" Target="javascript:__doPostBack('ctl00$ContentPlaceHolder1$Grd_tot_detail$ctl08$hypapr','')" TargetMode="External"/><Relationship Id="rId110" Type="http://schemas.openxmlformats.org/officeDocument/2006/relationships/hyperlink" Target="javascript:__doPostBack('ctl00$ContentPlaceHolder1$Grd_tot_detail$ctl09$hypJanuary','')" TargetMode="External"/><Relationship Id="rId131" Type="http://schemas.openxmlformats.org/officeDocument/2006/relationships/hyperlink" Target="javascript:__doPostBack('ctl00$ContentPlaceHolder1$Grd_tot_detail$ctl11$hypjune','')" TargetMode="External"/><Relationship Id="rId327" Type="http://schemas.openxmlformats.org/officeDocument/2006/relationships/hyperlink" Target="javascript:__doPostBack('ctl00$ContentPlaceHolder1$Grd_tot_detail$ctl25$hypSeptember','')" TargetMode="External"/><Relationship Id="rId348" Type="http://schemas.openxmlformats.org/officeDocument/2006/relationships/hyperlink" Target="javascript:__doPostBack('ctl00$ContentPlaceHolder1$Grd_tot_detail$ctl27$lbtnttlsch','')" TargetMode="External"/><Relationship Id="rId369" Type="http://schemas.openxmlformats.org/officeDocument/2006/relationships/hyperlink" Target="javascript:__doPostBack('ctl00$ContentPlaceHolder1$Grd_tot_detail$ctl28$hypSeptember','')" TargetMode="External"/><Relationship Id="rId152" Type="http://schemas.openxmlformats.org/officeDocument/2006/relationships/hyperlink" Target="javascript:__doPostBack('ctl00$ContentPlaceHolder1$Grd_tot_detail$ctl12$hypJanuary','')" TargetMode="External"/><Relationship Id="rId173" Type="http://schemas.openxmlformats.org/officeDocument/2006/relationships/hyperlink" Target="javascript:__doPostBack('ctl00$ContentPlaceHolder1$Grd_tot_detail$ctl14$hypjuly','')" TargetMode="External"/><Relationship Id="rId194" Type="http://schemas.openxmlformats.org/officeDocument/2006/relationships/hyperlink" Target="javascript:__doPostBack('ctl00$ContentPlaceHolder1$Grd_tot_detail$ctl15$hypFeb','')" TargetMode="External"/><Relationship Id="rId208" Type="http://schemas.openxmlformats.org/officeDocument/2006/relationships/hyperlink" Target="javascript:__doPostBack('ctl00$ContentPlaceHolder1$Grd_tot_detail$ctl16$hypFeb','')" TargetMode="External"/><Relationship Id="rId229" Type="http://schemas.openxmlformats.org/officeDocument/2006/relationships/hyperlink" Target="javascript:__doPostBack('ctl00$ContentPlaceHolder1$Grd_tot_detail$ctl18$hypjuly','')" TargetMode="External"/><Relationship Id="rId380" Type="http://schemas.openxmlformats.org/officeDocument/2006/relationships/hyperlink" Target="javascript:__doPostBack('ctl00$ContentPlaceHolder1$Grd_tot_detail$ctl29$hypjune','')" TargetMode="External"/><Relationship Id="rId415" Type="http://schemas.openxmlformats.org/officeDocument/2006/relationships/hyperlink" Target="javascript:__doPostBack('ctl00$ContentPlaceHolder1$Grd_tot_detail$ctl31$hypJanuary','')" TargetMode="External"/><Relationship Id="rId436" Type="http://schemas.openxmlformats.org/officeDocument/2006/relationships/hyperlink" Target="javascript:__doPostBack('ctl00$ContentPlaceHolder1$Grd_tot_detail$ctl33$hypjune','')" TargetMode="External"/><Relationship Id="rId457" Type="http://schemas.openxmlformats.org/officeDocument/2006/relationships/hyperlink" Target="javascript:__doPostBack('ctl00$ContentPlaceHolder1$Grd_tot_detail$ctl34$hypJanuary','')" TargetMode="External"/><Relationship Id="rId240" Type="http://schemas.openxmlformats.org/officeDocument/2006/relationships/hyperlink" Target="javascript:__doPostBack('ctl00$ContentPlaceHolder1$Grd_tot_detail$ctl19$hypapr','')" TargetMode="External"/><Relationship Id="rId261" Type="http://schemas.openxmlformats.org/officeDocument/2006/relationships/hyperlink" Target="javascript:__doPostBack('ctl00$ContentPlaceHolder1$Grd_tot_detail$ctl20$hypNovember','')" TargetMode="External"/><Relationship Id="rId14" Type="http://schemas.openxmlformats.org/officeDocument/2006/relationships/hyperlink" Target="javascript:__doPostBack('ctl00$ContentPlaceHolder1$Grd_tot_detail$ctl02$hypMarch','')" TargetMode="External"/><Relationship Id="rId35" Type="http://schemas.openxmlformats.org/officeDocument/2006/relationships/hyperlink" Target="javascript:__doPostBack('ctl00$ContentPlaceHolder1$Grd_tot_detail$ctl04$hypAugust','')" TargetMode="External"/><Relationship Id="rId56" Type="http://schemas.openxmlformats.org/officeDocument/2006/relationships/hyperlink" Target="javascript:__doPostBack('ctl00$ContentPlaceHolder1$Grd_tot_detail$ctl05$hypMarch','')" TargetMode="External"/><Relationship Id="rId77" Type="http://schemas.openxmlformats.org/officeDocument/2006/relationships/hyperlink" Target="javascript:__doPostBack('ctl00$ContentPlaceHolder1$Grd_tot_detail$ctl07$hypAugust','')" TargetMode="External"/><Relationship Id="rId100" Type="http://schemas.openxmlformats.org/officeDocument/2006/relationships/hyperlink" Target="javascript:__doPostBack('ctl00$ContentPlaceHolder1$Grd_tot_detail$ctl09$lbtnfreezsch','')" TargetMode="External"/><Relationship Id="rId282" Type="http://schemas.openxmlformats.org/officeDocument/2006/relationships/hyperlink" Target="javascript:__doPostBack('ctl00$ContentPlaceHolder1$Grd_tot_detail$ctl22$hypmay','')" TargetMode="External"/><Relationship Id="rId317" Type="http://schemas.openxmlformats.org/officeDocument/2006/relationships/hyperlink" Target="javascript:__doPostBack('ctl00$ContentPlaceHolder1$Grd_tot_detail$ctl24$hypJanuary','')" TargetMode="External"/><Relationship Id="rId338" Type="http://schemas.openxmlformats.org/officeDocument/2006/relationships/hyperlink" Target="javascript:__doPostBack('ctl00$ContentPlaceHolder1$Grd_tot_detail$ctl26$hypjune','')" TargetMode="External"/><Relationship Id="rId359" Type="http://schemas.openxmlformats.org/officeDocument/2006/relationships/hyperlink" Target="javascript:__doPostBack('ctl00$ContentPlaceHolder1$Grd_tot_detail$ctl27$hypJanuary','')" TargetMode="External"/><Relationship Id="rId8" Type="http://schemas.openxmlformats.org/officeDocument/2006/relationships/hyperlink" Target="javascript:__doPostBack('ctl00$ContentPlaceHolder1$Grd_tot_detail$ctl02$hypSeptember','')" TargetMode="External"/><Relationship Id="rId98" Type="http://schemas.openxmlformats.org/officeDocument/2006/relationships/hyperlink" Target="javascript:__doPostBack('ctl00$ContentPlaceHolder1$Grd_tot_detail$ctl08$hypMarch','')" TargetMode="External"/><Relationship Id="rId121" Type="http://schemas.openxmlformats.org/officeDocument/2006/relationships/hyperlink" Target="javascript:__doPostBack('ctl00$ContentPlaceHolder1$Grd_tot_detail$ctl10$hypOcteber','')" TargetMode="External"/><Relationship Id="rId142" Type="http://schemas.openxmlformats.org/officeDocument/2006/relationships/hyperlink" Target="javascript:__doPostBack('ctl00$ContentPlaceHolder1$Grd_tot_detail$ctl12$lbtnfreezsch','')" TargetMode="External"/><Relationship Id="rId163" Type="http://schemas.openxmlformats.org/officeDocument/2006/relationships/hyperlink" Target="javascript:__doPostBack('ctl00$ContentPlaceHolder1$Grd_tot_detail$ctl13$hypOcteber','')" TargetMode="External"/><Relationship Id="rId184" Type="http://schemas.openxmlformats.org/officeDocument/2006/relationships/hyperlink" Target="javascript:__doPostBack('ctl00$ContentPlaceHolder1$Grd_tot_detail$ctl15$hypapr','')" TargetMode="External"/><Relationship Id="rId219" Type="http://schemas.openxmlformats.org/officeDocument/2006/relationships/hyperlink" Target="javascript:__doPostBack('ctl00$ContentPlaceHolder1$Grd_tot_detail$ctl17$hypNovember','')" TargetMode="External"/><Relationship Id="rId370" Type="http://schemas.openxmlformats.org/officeDocument/2006/relationships/hyperlink" Target="javascript:__doPostBack('ctl00$ContentPlaceHolder1$Grd_tot_detail$ctl28$hypOcteber','')" TargetMode="External"/><Relationship Id="rId391" Type="http://schemas.openxmlformats.org/officeDocument/2006/relationships/hyperlink" Target="javascript:__doPostBack('ctl00$ContentPlaceHolder1$Grd_tot_detail$ctl30$lbtnfreezsch','')" TargetMode="External"/><Relationship Id="rId405" Type="http://schemas.openxmlformats.org/officeDocument/2006/relationships/hyperlink" Target="javascript:__doPostBack('ctl00$ContentPlaceHolder1$Grd_tot_detail$ctl31$lbtnfreezsch','')" TargetMode="External"/><Relationship Id="rId426" Type="http://schemas.openxmlformats.org/officeDocument/2006/relationships/hyperlink" Target="javascript:__doPostBack('ctl00$ContentPlaceHolder1$Grd_tot_detail$ctl32$hypOcteber','')" TargetMode="External"/><Relationship Id="rId447" Type="http://schemas.openxmlformats.org/officeDocument/2006/relationships/hyperlink" Target="javascript:__doPostBack('ctl00$ContentPlaceHolder1$Grd_tot_detail$ctl34$lbtnfreezsch','')" TargetMode="External"/><Relationship Id="rId230" Type="http://schemas.openxmlformats.org/officeDocument/2006/relationships/hyperlink" Target="javascript:__doPostBack('ctl00$ContentPlaceHolder1$Grd_tot_detail$ctl18$hypAugust','')" TargetMode="External"/><Relationship Id="rId251" Type="http://schemas.openxmlformats.org/officeDocument/2006/relationships/hyperlink" Target="javascript:__doPostBack('ctl00$ContentPlaceHolder1$Grd_tot_detail$ctl19$hypMarch','')" TargetMode="External"/><Relationship Id="rId25" Type="http://schemas.openxmlformats.org/officeDocument/2006/relationships/hyperlink" Target="javascript:__doPostBack('ctl00$ContentPlaceHolder1$Grd_tot_detail$ctl03$hypDecember','')" TargetMode="External"/><Relationship Id="rId46" Type="http://schemas.openxmlformats.org/officeDocument/2006/relationships/hyperlink" Target="javascript:__doPostBack('ctl00$ContentPlaceHolder1$Grd_tot_detail$ctl05$hypmay','')" TargetMode="External"/><Relationship Id="rId67" Type="http://schemas.openxmlformats.org/officeDocument/2006/relationships/hyperlink" Target="javascript:__doPostBack('ctl00$ContentPlaceHolder1$Grd_tot_detail$ctl06$hypDecember','')" TargetMode="External"/><Relationship Id="rId272" Type="http://schemas.openxmlformats.org/officeDocument/2006/relationships/hyperlink" Target="javascript:__doPostBack('ctl00$ContentPlaceHolder1$Grd_tot_detail$ctl21$hypAugust','')" TargetMode="External"/><Relationship Id="rId293" Type="http://schemas.openxmlformats.org/officeDocument/2006/relationships/hyperlink" Target="javascript:__doPostBack('ctl00$ContentPlaceHolder1$Grd_tot_detail$ctl23$lbtnfreezsch','')" TargetMode="External"/><Relationship Id="rId307" Type="http://schemas.openxmlformats.org/officeDocument/2006/relationships/hyperlink" Target="javascript:__doPostBack('ctl00$ContentPlaceHolder1$Grd_tot_detail$ctl24$lbtnfreezsch','')" TargetMode="External"/><Relationship Id="rId328" Type="http://schemas.openxmlformats.org/officeDocument/2006/relationships/hyperlink" Target="javascript:__doPostBack('ctl00$ContentPlaceHolder1$Grd_tot_detail$ctl25$hypOcteber','')" TargetMode="External"/><Relationship Id="rId349" Type="http://schemas.openxmlformats.org/officeDocument/2006/relationships/hyperlink" Target="javascript:__doPostBack('ctl00$ContentPlaceHolder1$Grd_tot_detail$ctl27$lbtnfreezsch','')" TargetMode="External"/><Relationship Id="rId88" Type="http://schemas.openxmlformats.org/officeDocument/2006/relationships/hyperlink" Target="javascript:__doPostBack('ctl00$ContentPlaceHolder1$Grd_tot_detail$ctl08$hypmay','')" TargetMode="External"/><Relationship Id="rId111" Type="http://schemas.openxmlformats.org/officeDocument/2006/relationships/hyperlink" Target="javascript:__doPostBack('ctl00$ContentPlaceHolder1$Grd_tot_detail$ctl09$hypFeb','')" TargetMode="External"/><Relationship Id="rId132" Type="http://schemas.openxmlformats.org/officeDocument/2006/relationships/hyperlink" Target="javascript:__doPostBack('ctl00$ContentPlaceHolder1$Grd_tot_detail$ctl11$hypjuly','')" TargetMode="External"/><Relationship Id="rId153" Type="http://schemas.openxmlformats.org/officeDocument/2006/relationships/hyperlink" Target="javascript:__doPostBack('ctl00$ContentPlaceHolder1$Grd_tot_detail$ctl12$hypFeb','')" TargetMode="External"/><Relationship Id="rId174" Type="http://schemas.openxmlformats.org/officeDocument/2006/relationships/hyperlink" Target="javascript:__doPostBack('ctl00$ContentPlaceHolder1$Grd_tot_detail$ctl14$hypAugust','')" TargetMode="External"/><Relationship Id="rId195" Type="http://schemas.openxmlformats.org/officeDocument/2006/relationships/hyperlink" Target="javascript:__doPostBack('ctl00$ContentPlaceHolder1$Grd_tot_detail$ctl15$hypMarch','')" TargetMode="External"/><Relationship Id="rId209" Type="http://schemas.openxmlformats.org/officeDocument/2006/relationships/hyperlink" Target="javascript:__doPostBack('ctl00$ContentPlaceHolder1$Grd_tot_detail$ctl16$hypMarch','')" TargetMode="External"/><Relationship Id="rId360" Type="http://schemas.openxmlformats.org/officeDocument/2006/relationships/hyperlink" Target="javascript:__doPostBack('ctl00$ContentPlaceHolder1$Grd_tot_detail$ctl27$hypFeb','')" TargetMode="External"/><Relationship Id="rId381" Type="http://schemas.openxmlformats.org/officeDocument/2006/relationships/hyperlink" Target="javascript:__doPostBack('ctl00$ContentPlaceHolder1$Grd_tot_detail$ctl29$hypjuly','')" TargetMode="External"/><Relationship Id="rId416" Type="http://schemas.openxmlformats.org/officeDocument/2006/relationships/hyperlink" Target="javascript:__doPostBack('ctl00$ContentPlaceHolder1$Grd_tot_detail$ctl31$hypFeb','')" TargetMode="External"/><Relationship Id="rId220" Type="http://schemas.openxmlformats.org/officeDocument/2006/relationships/hyperlink" Target="javascript:__doPostBack('ctl00$ContentPlaceHolder1$Grd_tot_detail$ctl17$hypDecember','')" TargetMode="External"/><Relationship Id="rId241" Type="http://schemas.openxmlformats.org/officeDocument/2006/relationships/hyperlink" Target="javascript:__doPostBack('ctl00$ContentPlaceHolder1$Grd_tot_detail$ctl19$hypmay','')" TargetMode="External"/><Relationship Id="rId437" Type="http://schemas.openxmlformats.org/officeDocument/2006/relationships/hyperlink" Target="javascript:__doPostBack('ctl00$ContentPlaceHolder1$Grd_tot_detail$ctl33$hypjuly','')" TargetMode="External"/><Relationship Id="rId458" Type="http://schemas.openxmlformats.org/officeDocument/2006/relationships/hyperlink" Target="javascript:__doPostBack('ctl00$ContentPlaceHolder1$Grd_tot_detail$ctl34$hypFeb','')" TargetMode="External"/><Relationship Id="rId15" Type="http://schemas.openxmlformats.org/officeDocument/2006/relationships/hyperlink" Target="javascript:__doPostBack('ctl00$ContentPlaceHolder1$Grd_tot_detail$ctl03$lbtnttlsch','')" TargetMode="External"/><Relationship Id="rId36" Type="http://schemas.openxmlformats.org/officeDocument/2006/relationships/hyperlink" Target="javascript:__doPostBack('ctl00$ContentPlaceHolder1$Grd_tot_detail$ctl04$hypSeptember','')" TargetMode="External"/><Relationship Id="rId57" Type="http://schemas.openxmlformats.org/officeDocument/2006/relationships/hyperlink" Target="javascript:__doPostBack('ctl00$ContentPlaceHolder1$Grd_tot_detail$ctl06$lbtnttlsch','')" TargetMode="External"/><Relationship Id="rId262" Type="http://schemas.openxmlformats.org/officeDocument/2006/relationships/hyperlink" Target="javascript:__doPostBack('ctl00$ContentPlaceHolder1$Grd_tot_detail$ctl20$hypDecember','')" TargetMode="External"/><Relationship Id="rId283" Type="http://schemas.openxmlformats.org/officeDocument/2006/relationships/hyperlink" Target="javascript:__doPostBack('ctl00$ContentPlaceHolder1$Grd_tot_detail$ctl22$hypjune','')" TargetMode="External"/><Relationship Id="rId318" Type="http://schemas.openxmlformats.org/officeDocument/2006/relationships/hyperlink" Target="javascript:__doPostBack('ctl00$ContentPlaceHolder1$Grd_tot_detail$ctl24$hypFeb','')" TargetMode="External"/><Relationship Id="rId339" Type="http://schemas.openxmlformats.org/officeDocument/2006/relationships/hyperlink" Target="javascript:__doPostBack('ctl00$ContentPlaceHolder1$Grd_tot_detail$ctl26$hypjuly','')" TargetMode="External"/><Relationship Id="rId78" Type="http://schemas.openxmlformats.org/officeDocument/2006/relationships/hyperlink" Target="javascript:__doPostBack('ctl00$ContentPlaceHolder1$Grd_tot_detail$ctl07$hypSeptember','')" TargetMode="External"/><Relationship Id="rId99" Type="http://schemas.openxmlformats.org/officeDocument/2006/relationships/hyperlink" Target="javascript:__doPostBack('ctl00$ContentPlaceHolder1$Grd_tot_detail$ctl09$lbtnttlsch','')" TargetMode="External"/><Relationship Id="rId101" Type="http://schemas.openxmlformats.org/officeDocument/2006/relationships/hyperlink" Target="javascript:__doPostBack('ctl00$ContentPlaceHolder1$Grd_tot_detail$ctl09$hypapr','')" TargetMode="External"/><Relationship Id="rId122" Type="http://schemas.openxmlformats.org/officeDocument/2006/relationships/hyperlink" Target="javascript:__doPostBack('ctl00$ContentPlaceHolder1$Grd_tot_detail$ctl10$hypNovember','')" TargetMode="External"/><Relationship Id="rId143" Type="http://schemas.openxmlformats.org/officeDocument/2006/relationships/hyperlink" Target="javascript:__doPostBack('ctl00$ContentPlaceHolder1$Grd_tot_detail$ctl12$hypapr','')" TargetMode="External"/><Relationship Id="rId164" Type="http://schemas.openxmlformats.org/officeDocument/2006/relationships/hyperlink" Target="javascript:__doPostBack('ctl00$ContentPlaceHolder1$Grd_tot_detail$ctl13$hypNovember','')" TargetMode="External"/><Relationship Id="rId185" Type="http://schemas.openxmlformats.org/officeDocument/2006/relationships/hyperlink" Target="javascript:__doPostBack('ctl00$ContentPlaceHolder1$Grd_tot_detail$ctl15$hypmay','')" TargetMode="External"/><Relationship Id="rId350" Type="http://schemas.openxmlformats.org/officeDocument/2006/relationships/hyperlink" Target="javascript:__doPostBack('ctl00$ContentPlaceHolder1$Grd_tot_detail$ctl27$hypapr','')" TargetMode="External"/><Relationship Id="rId371" Type="http://schemas.openxmlformats.org/officeDocument/2006/relationships/hyperlink" Target="javascript:__doPostBack('ctl00$ContentPlaceHolder1$Grd_tot_detail$ctl28$hypNovember','')" TargetMode="External"/><Relationship Id="rId406" Type="http://schemas.openxmlformats.org/officeDocument/2006/relationships/hyperlink" Target="javascript:__doPostBack('ctl00$ContentPlaceHolder1$Grd_tot_detail$ctl31$hypapr','')" TargetMode="External"/><Relationship Id="rId9" Type="http://schemas.openxmlformats.org/officeDocument/2006/relationships/hyperlink" Target="javascript:__doPostBack('ctl00$ContentPlaceHolder1$Grd_tot_detail$ctl02$hypOcteber','')" TargetMode="External"/><Relationship Id="rId210" Type="http://schemas.openxmlformats.org/officeDocument/2006/relationships/hyperlink" Target="javascript:__doPostBack('ctl00$ContentPlaceHolder1$Grd_tot_detail$ctl17$lbtnttlsch','')" TargetMode="External"/><Relationship Id="rId392" Type="http://schemas.openxmlformats.org/officeDocument/2006/relationships/hyperlink" Target="javascript:__doPostBack('ctl00$ContentPlaceHolder1$Grd_tot_detail$ctl30$hypapr','')" TargetMode="External"/><Relationship Id="rId427" Type="http://schemas.openxmlformats.org/officeDocument/2006/relationships/hyperlink" Target="javascript:__doPostBack('ctl00$ContentPlaceHolder1$Grd_tot_detail$ctl32$hypNovember','')" TargetMode="External"/><Relationship Id="rId448" Type="http://schemas.openxmlformats.org/officeDocument/2006/relationships/hyperlink" Target="javascript:__doPostBack('ctl00$ContentPlaceHolder1$Grd_tot_detail$ctl34$hypapr','')" TargetMode="External"/><Relationship Id="rId26" Type="http://schemas.openxmlformats.org/officeDocument/2006/relationships/hyperlink" Target="javascript:__doPostBack('ctl00$ContentPlaceHolder1$Grd_tot_detail$ctl03$hypJanuary','')" TargetMode="External"/><Relationship Id="rId231" Type="http://schemas.openxmlformats.org/officeDocument/2006/relationships/hyperlink" Target="javascript:__doPostBack('ctl00$ContentPlaceHolder1$Grd_tot_detail$ctl18$hypSeptember','')" TargetMode="External"/><Relationship Id="rId252" Type="http://schemas.openxmlformats.org/officeDocument/2006/relationships/hyperlink" Target="javascript:__doPostBack('ctl00$ContentPlaceHolder1$Grd_tot_detail$ctl20$lbtnttlsch','')" TargetMode="External"/><Relationship Id="rId273" Type="http://schemas.openxmlformats.org/officeDocument/2006/relationships/hyperlink" Target="javascript:__doPostBack('ctl00$ContentPlaceHolder1$Grd_tot_detail$ctl21$hypSeptember','')" TargetMode="External"/><Relationship Id="rId294" Type="http://schemas.openxmlformats.org/officeDocument/2006/relationships/hyperlink" Target="javascript:__doPostBack('ctl00$ContentPlaceHolder1$Grd_tot_detail$ctl23$hypapr','')" TargetMode="External"/><Relationship Id="rId308" Type="http://schemas.openxmlformats.org/officeDocument/2006/relationships/hyperlink" Target="javascript:__doPostBack('ctl00$ContentPlaceHolder1$Grd_tot_detail$ctl24$hypapr','')" TargetMode="External"/><Relationship Id="rId329" Type="http://schemas.openxmlformats.org/officeDocument/2006/relationships/hyperlink" Target="javascript:__doPostBack('ctl00$ContentPlaceHolder1$Grd_tot_detail$ctl25$hypNovember','')" TargetMode="External"/><Relationship Id="rId47" Type="http://schemas.openxmlformats.org/officeDocument/2006/relationships/hyperlink" Target="javascript:__doPostBack('ctl00$ContentPlaceHolder1$Grd_tot_detail$ctl05$hypjune','')" TargetMode="External"/><Relationship Id="rId68" Type="http://schemas.openxmlformats.org/officeDocument/2006/relationships/hyperlink" Target="javascript:__doPostBack('ctl00$ContentPlaceHolder1$Grd_tot_detail$ctl06$hypJanuary','')" TargetMode="External"/><Relationship Id="rId89" Type="http://schemas.openxmlformats.org/officeDocument/2006/relationships/hyperlink" Target="javascript:__doPostBack('ctl00$ContentPlaceHolder1$Grd_tot_detail$ctl08$hypjune','')" TargetMode="External"/><Relationship Id="rId112" Type="http://schemas.openxmlformats.org/officeDocument/2006/relationships/hyperlink" Target="javascript:__doPostBack('ctl00$ContentPlaceHolder1$Grd_tot_detail$ctl09$hypMarch','')" TargetMode="External"/><Relationship Id="rId133" Type="http://schemas.openxmlformats.org/officeDocument/2006/relationships/hyperlink" Target="javascript:__doPostBack('ctl00$ContentPlaceHolder1$Grd_tot_detail$ctl11$hypAugust','')" TargetMode="External"/><Relationship Id="rId154" Type="http://schemas.openxmlformats.org/officeDocument/2006/relationships/hyperlink" Target="javascript:__doPostBack('ctl00$ContentPlaceHolder1$Grd_tot_detail$ctl12$hypMarch','')" TargetMode="External"/><Relationship Id="rId175" Type="http://schemas.openxmlformats.org/officeDocument/2006/relationships/hyperlink" Target="javascript:__doPostBack('ctl00$ContentPlaceHolder1$Grd_tot_detail$ctl14$hypSeptember','')" TargetMode="External"/><Relationship Id="rId340" Type="http://schemas.openxmlformats.org/officeDocument/2006/relationships/hyperlink" Target="javascript:__doPostBack('ctl00$ContentPlaceHolder1$Grd_tot_detail$ctl26$hypAugust','')" TargetMode="External"/><Relationship Id="rId361" Type="http://schemas.openxmlformats.org/officeDocument/2006/relationships/hyperlink" Target="javascript:__doPostBack('ctl00$ContentPlaceHolder1$Grd_tot_detail$ctl27$hypMarch','')" TargetMode="External"/><Relationship Id="rId196" Type="http://schemas.openxmlformats.org/officeDocument/2006/relationships/hyperlink" Target="javascript:__doPostBack('ctl00$ContentPlaceHolder1$Grd_tot_detail$ctl16$lbtnttlsch','')" TargetMode="External"/><Relationship Id="rId200" Type="http://schemas.openxmlformats.org/officeDocument/2006/relationships/hyperlink" Target="javascript:__doPostBack('ctl00$ContentPlaceHolder1$Grd_tot_detail$ctl16$hypjune','')" TargetMode="External"/><Relationship Id="rId382" Type="http://schemas.openxmlformats.org/officeDocument/2006/relationships/hyperlink" Target="javascript:__doPostBack('ctl00$ContentPlaceHolder1$Grd_tot_detail$ctl29$hypAugust','')" TargetMode="External"/><Relationship Id="rId417" Type="http://schemas.openxmlformats.org/officeDocument/2006/relationships/hyperlink" Target="javascript:__doPostBack('ctl00$ContentPlaceHolder1$Grd_tot_detail$ctl31$hypMarch','')" TargetMode="External"/><Relationship Id="rId438" Type="http://schemas.openxmlformats.org/officeDocument/2006/relationships/hyperlink" Target="javascript:__doPostBack('ctl00$ContentPlaceHolder1$Grd_tot_detail$ctl33$hypAugust','')" TargetMode="External"/><Relationship Id="rId459" Type="http://schemas.openxmlformats.org/officeDocument/2006/relationships/hyperlink" Target="javascript:__doPostBack('ctl00$ContentPlaceHolder1$Grd_tot_detail$ctl34$hypMarch','')" TargetMode="External"/><Relationship Id="rId16" Type="http://schemas.openxmlformats.org/officeDocument/2006/relationships/hyperlink" Target="javascript:__doPostBack('ctl00$ContentPlaceHolder1$Grd_tot_detail$ctl03$lbtnfreezsch','')" TargetMode="External"/><Relationship Id="rId221" Type="http://schemas.openxmlformats.org/officeDocument/2006/relationships/hyperlink" Target="javascript:__doPostBack('ctl00$ContentPlaceHolder1$Grd_tot_detail$ctl17$hypJanuary','')" TargetMode="External"/><Relationship Id="rId242" Type="http://schemas.openxmlformats.org/officeDocument/2006/relationships/hyperlink" Target="javascript:__doPostBack('ctl00$ContentPlaceHolder1$Grd_tot_detail$ctl19$hypjune','')" TargetMode="External"/><Relationship Id="rId263" Type="http://schemas.openxmlformats.org/officeDocument/2006/relationships/hyperlink" Target="javascript:__doPostBack('ctl00$ContentPlaceHolder1$Grd_tot_detail$ctl20$hypJanuary','')" TargetMode="External"/><Relationship Id="rId284" Type="http://schemas.openxmlformats.org/officeDocument/2006/relationships/hyperlink" Target="javascript:__doPostBack('ctl00$ContentPlaceHolder1$Grd_tot_detail$ctl22$hypjuly','')" TargetMode="External"/><Relationship Id="rId319" Type="http://schemas.openxmlformats.org/officeDocument/2006/relationships/hyperlink" Target="javascript:__doPostBack('ctl00$ContentPlaceHolder1$Grd_tot_detail$ctl24$hypMarch','')" TargetMode="External"/><Relationship Id="rId37" Type="http://schemas.openxmlformats.org/officeDocument/2006/relationships/hyperlink" Target="javascript:__doPostBack('ctl00$ContentPlaceHolder1$Grd_tot_detail$ctl04$hypOcteber','')" TargetMode="External"/><Relationship Id="rId58" Type="http://schemas.openxmlformats.org/officeDocument/2006/relationships/hyperlink" Target="javascript:__doPostBack('ctl00$ContentPlaceHolder1$Grd_tot_detail$ctl06$lbtnfreezsch','')" TargetMode="External"/><Relationship Id="rId79" Type="http://schemas.openxmlformats.org/officeDocument/2006/relationships/hyperlink" Target="javascript:__doPostBack('ctl00$ContentPlaceHolder1$Grd_tot_detail$ctl07$hypOcteber','')" TargetMode="External"/><Relationship Id="rId102" Type="http://schemas.openxmlformats.org/officeDocument/2006/relationships/hyperlink" Target="javascript:__doPostBack('ctl00$ContentPlaceHolder1$Grd_tot_detail$ctl09$hypmay','')" TargetMode="External"/><Relationship Id="rId123" Type="http://schemas.openxmlformats.org/officeDocument/2006/relationships/hyperlink" Target="javascript:__doPostBack('ctl00$ContentPlaceHolder1$Grd_tot_detail$ctl10$hypDecember','')" TargetMode="External"/><Relationship Id="rId144" Type="http://schemas.openxmlformats.org/officeDocument/2006/relationships/hyperlink" Target="javascript:__doPostBack('ctl00$ContentPlaceHolder1$Grd_tot_detail$ctl12$hypmay','')" TargetMode="External"/><Relationship Id="rId330" Type="http://schemas.openxmlformats.org/officeDocument/2006/relationships/hyperlink" Target="javascript:__doPostBack('ctl00$ContentPlaceHolder1$Grd_tot_detail$ctl25$hypDecember','')" TargetMode="External"/><Relationship Id="rId90" Type="http://schemas.openxmlformats.org/officeDocument/2006/relationships/hyperlink" Target="javascript:__doPostBack('ctl00$ContentPlaceHolder1$Grd_tot_detail$ctl08$hypjuly','')" TargetMode="External"/><Relationship Id="rId165" Type="http://schemas.openxmlformats.org/officeDocument/2006/relationships/hyperlink" Target="javascript:__doPostBack('ctl00$ContentPlaceHolder1$Grd_tot_detail$ctl13$hypDecember','')" TargetMode="External"/><Relationship Id="rId186" Type="http://schemas.openxmlformats.org/officeDocument/2006/relationships/hyperlink" Target="javascript:__doPostBack('ctl00$ContentPlaceHolder1$Grd_tot_detail$ctl15$hypjune','')" TargetMode="External"/><Relationship Id="rId351" Type="http://schemas.openxmlformats.org/officeDocument/2006/relationships/hyperlink" Target="javascript:__doPostBack('ctl00$ContentPlaceHolder1$Grd_tot_detail$ctl27$hypmay','')" TargetMode="External"/><Relationship Id="rId372" Type="http://schemas.openxmlformats.org/officeDocument/2006/relationships/hyperlink" Target="javascript:__doPostBack('ctl00$ContentPlaceHolder1$Grd_tot_detail$ctl28$hypDecember','')" TargetMode="External"/><Relationship Id="rId393" Type="http://schemas.openxmlformats.org/officeDocument/2006/relationships/hyperlink" Target="javascript:__doPostBack('ctl00$ContentPlaceHolder1$Grd_tot_detail$ctl30$hypmay','')" TargetMode="External"/><Relationship Id="rId407" Type="http://schemas.openxmlformats.org/officeDocument/2006/relationships/hyperlink" Target="javascript:__doPostBack('ctl00$ContentPlaceHolder1$Grd_tot_detail$ctl31$hypmay','')" TargetMode="External"/><Relationship Id="rId428" Type="http://schemas.openxmlformats.org/officeDocument/2006/relationships/hyperlink" Target="javascript:__doPostBack('ctl00$ContentPlaceHolder1$Grd_tot_detail$ctl32$hypDecember','')" TargetMode="External"/><Relationship Id="rId449" Type="http://schemas.openxmlformats.org/officeDocument/2006/relationships/hyperlink" Target="javascript:__doPostBack('ctl00$ContentPlaceHolder1$Grd_tot_detail$ctl34$hypmay','')" TargetMode="External"/><Relationship Id="rId211" Type="http://schemas.openxmlformats.org/officeDocument/2006/relationships/hyperlink" Target="javascript:__doPostBack('ctl00$ContentPlaceHolder1$Grd_tot_detail$ctl17$lbtnfreezsch','')" TargetMode="External"/><Relationship Id="rId232" Type="http://schemas.openxmlformats.org/officeDocument/2006/relationships/hyperlink" Target="javascript:__doPostBack('ctl00$ContentPlaceHolder1$Grd_tot_detail$ctl18$hypOcteber','')" TargetMode="External"/><Relationship Id="rId253" Type="http://schemas.openxmlformats.org/officeDocument/2006/relationships/hyperlink" Target="javascript:__doPostBack('ctl00$ContentPlaceHolder1$Grd_tot_detail$ctl20$lbtnfreezsch','')" TargetMode="External"/><Relationship Id="rId274" Type="http://schemas.openxmlformats.org/officeDocument/2006/relationships/hyperlink" Target="javascript:__doPostBack('ctl00$ContentPlaceHolder1$Grd_tot_detail$ctl21$hypOcteber','')" TargetMode="External"/><Relationship Id="rId295" Type="http://schemas.openxmlformats.org/officeDocument/2006/relationships/hyperlink" Target="javascript:__doPostBack('ctl00$ContentPlaceHolder1$Grd_tot_detail$ctl23$hypmay','')" TargetMode="External"/><Relationship Id="rId309" Type="http://schemas.openxmlformats.org/officeDocument/2006/relationships/hyperlink" Target="javascript:__doPostBack('ctl00$ContentPlaceHolder1$Grd_tot_detail$ctl24$hypmay','')" TargetMode="External"/><Relationship Id="rId460" Type="http://schemas.openxmlformats.org/officeDocument/2006/relationships/printerSettings" Target="../printerSettings/printerSettings50.bin"/><Relationship Id="rId27" Type="http://schemas.openxmlformats.org/officeDocument/2006/relationships/hyperlink" Target="javascript:__doPostBack('ctl00$ContentPlaceHolder1$Grd_tot_detail$ctl03$hypFeb','')" TargetMode="External"/><Relationship Id="rId48" Type="http://schemas.openxmlformats.org/officeDocument/2006/relationships/hyperlink" Target="javascript:__doPostBack('ctl00$ContentPlaceHolder1$Grd_tot_detail$ctl05$hypjuly','')" TargetMode="External"/><Relationship Id="rId69" Type="http://schemas.openxmlformats.org/officeDocument/2006/relationships/hyperlink" Target="javascript:__doPostBack('ctl00$ContentPlaceHolder1$Grd_tot_detail$ctl06$hypFeb','')" TargetMode="External"/><Relationship Id="rId113" Type="http://schemas.openxmlformats.org/officeDocument/2006/relationships/hyperlink" Target="javascript:__doPostBack('ctl00$ContentPlaceHolder1$Grd_tot_detail$ctl10$lbtnttlsch','')" TargetMode="External"/><Relationship Id="rId134" Type="http://schemas.openxmlformats.org/officeDocument/2006/relationships/hyperlink" Target="javascript:__doPostBack('ctl00$ContentPlaceHolder1$Grd_tot_detail$ctl11$hypSeptember','')" TargetMode="External"/><Relationship Id="rId320" Type="http://schemas.openxmlformats.org/officeDocument/2006/relationships/hyperlink" Target="javascript:__doPostBack('ctl00$ContentPlaceHolder1$Grd_tot_detail$ctl25$lbtnttlsch','')" TargetMode="External"/><Relationship Id="rId80" Type="http://schemas.openxmlformats.org/officeDocument/2006/relationships/hyperlink" Target="javascript:__doPostBack('ctl00$ContentPlaceHolder1$Grd_tot_detail$ctl07$hypNovember','')" TargetMode="External"/><Relationship Id="rId155" Type="http://schemas.openxmlformats.org/officeDocument/2006/relationships/hyperlink" Target="javascript:__doPostBack('ctl00$ContentPlaceHolder1$Grd_tot_detail$ctl13$lbtnttlsch','')" TargetMode="External"/><Relationship Id="rId176" Type="http://schemas.openxmlformats.org/officeDocument/2006/relationships/hyperlink" Target="javascript:__doPostBack('ctl00$ContentPlaceHolder1$Grd_tot_detail$ctl14$hypOcteber','')" TargetMode="External"/><Relationship Id="rId197" Type="http://schemas.openxmlformats.org/officeDocument/2006/relationships/hyperlink" Target="javascript:__doPostBack('ctl00$ContentPlaceHolder1$Grd_tot_detail$ctl16$lbtnfreezsch','')" TargetMode="External"/><Relationship Id="rId341" Type="http://schemas.openxmlformats.org/officeDocument/2006/relationships/hyperlink" Target="javascript:__doPostBack('ctl00$ContentPlaceHolder1$Grd_tot_detail$ctl26$hypSeptember','')" TargetMode="External"/><Relationship Id="rId362" Type="http://schemas.openxmlformats.org/officeDocument/2006/relationships/hyperlink" Target="javascript:__doPostBack('ctl00$ContentPlaceHolder1$Grd_tot_detail$ctl28$lbtnttlsch','')" TargetMode="External"/><Relationship Id="rId383" Type="http://schemas.openxmlformats.org/officeDocument/2006/relationships/hyperlink" Target="javascript:__doPostBack('ctl00$ContentPlaceHolder1$Grd_tot_detail$ctl29$hypSeptember','')" TargetMode="External"/><Relationship Id="rId418" Type="http://schemas.openxmlformats.org/officeDocument/2006/relationships/hyperlink" Target="javascript:__doPostBack('ctl00$ContentPlaceHolder1$Grd_tot_detail$ctl32$lbtnttlsch','')" TargetMode="External"/><Relationship Id="rId439" Type="http://schemas.openxmlformats.org/officeDocument/2006/relationships/hyperlink" Target="javascript:__doPostBack('ctl00$ContentPlaceHolder1$Grd_tot_detail$ctl33$hypSeptember','')" TargetMode="External"/><Relationship Id="rId201" Type="http://schemas.openxmlformats.org/officeDocument/2006/relationships/hyperlink" Target="javascript:__doPostBack('ctl00$ContentPlaceHolder1$Grd_tot_detail$ctl16$hypjuly','')" TargetMode="External"/><Relationship Id="rId222" Type="http://schemas.openxmlformats.org/officeDocument/2006/relationships/hyperlink" Target="javascript:__doPostBack('ctl00$ContentPlaceHolder1$Grd_tot_detail$ctl17$hypFeb','')" TargetMode="External"/><Relationship Id="rId243" Type="http://schemas.openxmlformats.org/officeDocument/2006/relationships/hyperlink" Target="javascript:__doPostBack('ctl00$ContentPlaceHolder1$Grd_tot_detail$ctl19$hypjuly','')" TargetMode="External"/><Relationship Id="rId264" Type="http://schemas.openxmlformats.org/officeDocument/2006/relationships/hyperlink" Target="javascript:__doPostBack('ctl00$ContentPlaceHolder1$Grd_tot_detail$ctl20$hypFeb','')" TargetMode="External"/><Relationship Id="rId285" Type="http://schemas.openxmlformats.org/officeDocument/2006/relationships/hyperlink" Target="javascript:__doPostBack('ctl00$ContentPlaceHolder1$Grd_tot_detail$ctl22$hypAugust','')" TargetMode="External"/><Relationship Id="rId450" Type="http://schemas.openxmlformats.org/officeDocument/2006/relationships/hyperlink" Target="javascript:__doPostBack('ctl00$ContentPlaceHolder1$Grd_tot_detail$ctl34$hypjune','')" TargetMode="External"/><Relationship Id="rId17" Type="http://schemas.openxmlformats.org/officeDocument/2006/relationships/hyperlink" Target="javascript:__doPostBack('ctl00$ContentPlaceHolder1$Grd_tot_detail$ctl03$hypapr','')" TargetMode="External"/><Relationship Id="rId38" Type="http://schemas.openxmlformats.org/officeDocument/2006/relationships/hyperlink" Target="javascript:__doPostBack('ctl00$ContentPlaceHolder1$Grd_tot_detail$ctl04$hypNovember','')" TargetMode="External"/><Relationship Id="rId59" Type="http://schemas.openxmlformats.org/officeDocument/2006/relationships/hyperlink" Target="javascript:__doPostBack('ctl00$ContentPlaceHolder1$Grd_tot_detail$ctl06$hypapr','')" TargetMode="External"/><Relationship Id="rId103" Type="http://schemas.openxmlformats.org/officeDocument/2006/relationships/hyperlink" Target="javascript:__doPostBack('ctl00$ContentPlaceHolder1$Grd_tot_detail$ctl09$hypjune','')" TargetMode="External"/><Relationship Id="rId124" Type="http://schemas.openxmlformats.org/officeDocument/2006/relationships/hyperlink" Target="javascript:__doPostBack('ctl00$ContentPlaceHolder1$Grd_tot_detail$ctl10$hypJanuary','')" TargetMode="External"/><Relationship Id="rId310" Type="http://schemas.openxmlformats.org/officeDocument/2006/relationships/hyperlink" Target="javascript:__doPostBack('ctl00$ContentPlaceHolder1$Grd_tot_detail$ctl24$hypjune','')" TargetMode="External"/><Relationship Id="rId70" Type="http://schemas.openxmlformats.org/officeDocument/2006/relationships/hyperlink" Target="javascript:__doPostBack('ctl00$ContentPlaceHolder1$Grd_tot_detail$ctl06$hypMarch','')" TargetMode="External"/><Relationship Id="rId91" Type="http://schemas.openxmlformats.org/officeDocument/2006/relationships/hyperlink" Target="javascript:__doPostBack('ctl00$ContentPlaceHolder1$Grd_tot_detail$ctl08$hypAugust','')" TargetMode="External"/><Relationship Id="rId145" Type="http://schemas.openxmlformats.org/officeDocument/2006/relationships/hyperlink" Target="javascript:__doPostBack('ctl00$ContentPlaceHolder1$Grd_tot_detail$ctl12$hypjune','')" TargetMode="External"/><Relationship Id="rId166" Type="http://schemas.openxmlformats.org/officeDocument/2006/relationships/hyperlink" Target="javascript:__doPostBack('ctl00$ContentPlaceHolder1$Grd_tot_detail$ctl13$hypJanuary','')" TargetMode="External"/><Relationship Id="rId187" Type="http://schemas.openxmlformats.org/officeDocument/2006/relationships/hyperlink" Target="javascript:__doPostBack('ctl00$ContentPlaceHolder1$Grd_tot_detail$ctl15$hypjuly','')" TargetMode="External"/><Relationship Id="rId331" Type="http://schemas.openxmlformats.org/officeDocument/2006/relationships/hyperlink" Target="javascript:__doPostBack('ctl00$ContentPlaceHolder1$Grd_tot_detail$ctl25$hypJanuary','')" TargetMode="External"/><Relationship Id="rId352" Type="http://schemas.openxmlformats.org/officeDocument/2006/relationships/hyperlink" Target="javascript:__doPostBack('ctl00$ContentPlaceHolder1$Grd_tot_detail$ctl27$hypjune','')" TargetMode="External"/><Relationship Id="rId373" Type="http://schemas.openxmlformats.org/officeDocument/2006/relationships/hyperlink" Target="javascript:__doPostBack('ctl00$ContentPlaceHolder1$Grd_tot_detail$ctl28$hypJanuary','')" TargetMode="External"/><Relationship Id="rId394" Type="http://schemas.openxmlformats.org/officeDocument/2006/relationships/hyperlink" Target="javascript:__doPostBack('ctl00$ContentPlaceHolder1$Grd_tot_detail$ctl30$hypjune','')" TargetMode="External"/><Relationship Id="rId408" Type="http://schemas.openxmlformats.org/officeDocument/2006/relationships/hyperlink" Target="javascript:__doPostBack('ctl00$ContentPlaceHolder1$Grd_tot_detail$ctl31$hypjune','')" TargetMode="External"/><Relationship Id="rId429" Type="http://schemas.openxmlformats.org/officeDocument/2006/relationships/hyperlink" Target="javascript:__doPostBack('ctl00$ContentPlaceHolder1$Grd_tot_detail$ctl32$hypJanuary','')" TargetMode="External"/><Relationship Id="rId1" Type="http://schemas.openxmlformats.org/officeDocument/2006/relationships/hyperlink" Target="javascript:__doPostBack('ctl00$ContentPlaceHolder1$Grd_tot_detail$ctl02$lbtnttlsch','')" TargetMode="External"/><Relationship Id="rId212" Type="http://schemas.openxmlformats.org/officeDocument/2006/relationships/hyperlink" Target="javascript:__doPostBack('ctl00$ContentPlaceHolder1$Grd_tot_detail$ctl17$hypapr','')" TargetMode="External"/><Relationship Id="rId233" Type="http://schemas.openxmlformats.org/officeDocument/2006/relationships/hyperlink" Target="javascript:__doPostBack('ctl00$ContentPlaceHolder1$Grd_tot_detail$ctl18$hypNovember','')" TargetMode="External"/><Relationship Id="rId254" Type="http://schemas.openxmlformats.org/officeDocument/2006/relationships/hyperlink" Target="javascript:__doPostBack('ctl00$ContentPlaceHolder1$Grd_tot_detail$ctl20$hypapr','')" TargetMode="External"/><Relationship Id="rId440" Type="http://schemas.openxmlformats.org/officeDocument/2006/relationships/hyperlink" Target="javascript:__doPostBack('ctl00$ContentPlaceHolder1$Grd_tot_detail$ctl33$hypOcteber','')" TargetMode="External"/><Relationship Id="rId28" Type="http://schemas.openxmlformats.org/officeDocument/2006/relationships/hyperlink" Target="javascript:__doPostBack('ctl00$ContentPlaceHolder1$Grd_tot_detail$ctl03$hypMarch','')" TargetMode="External"/><Relationship Id="rId49" Type="http://schemas.openxmlformats.org/officeDocument/2006/relationships/hyperlink" Target="javascript:__doPostBack('ctl00$ContentPlaceHolder1$Grd_tot_detail$ctl05$hypAugust','')" TargetMode="External"/><Relationship Id="rId114" Type="http://schemas.openxmlformats.org/officeDocument/2006/relationships/hyperlink" Target="javascript:__doPostBack('ctl00$ContentPlaceHolder1$Grd_tot_detail$ctl10$lbtnfreezsch','')" TargetMode="External"/><Relationship Id="rId275" Type="http://schemas.openxmlformats.org/officeDocument/2006/relationships/hyperlink" Target="javascript:__doPostBack('ctl00$ContentPlaceHolder1$Grd_tot_detail$ctl21$hypNovember','')" TargetMode="External"/><Relationship Id="rId296" Type="http://schemas.openxmlformats.org/officeDocument/2006/relationships/hyperlink" Target="javascript:__doPostBack('ctl00$ContentPlaceHolder1$Grd_tot_detail$ctl23$hypjune','')" TargetMode="External"/><Relationship Id="rId300" Type="http://schemas.openxmlformats.org/officeDocument/2006/relationships/hyperlink" Target="javascript:__doPostBack('ctl00$ContentPlaceHolder1$Grd_tot_detail$ctl23$hypOcteber','')" TargetMode="External"/><Relationship Id="rId60" Type="http://schemas.openxmlformats.org/officeDocument/2006/relationships/hyperlink" Target="javascript:__doPostBack('ctl00$ContentPlaceHolder1$Grd_tot_detail$ctl06$hypmay','')" TargetMode="External"/><Relationship Id="rId81" Type="http://schemas.openxmlformats.org/officeDocument/2006/relationships/hyperlink" Target="javascript:__doPostBack('ctl00$ContentPlaceHolder1$Grd_tot_detail$ctl07$hypDecember','')" TargetMode="External"/><Relationship Id="rId135" Type="http://schemas.openxmlformats.org/officeDocument/2006/relationships/hyperlink" Target="javascript:__doPostBack('ctl00$ContentPlaceHolder1$Grd_tot_detail$ctl11$hypOcteber','')" TargetMode="External"/><Relationship Id="rId156" Type="http://schemas.openxmlformats.org/officeDocument/2006/relationships/hyperlink" Target="javascript:__doPostBack('ctl00$ContentPlaceHolder1$Grd_tot_detail$ctl13$lbtnfreezsch','')" TargetMode="External"/><Relationship Id="rId177" Type="http://schemas.openxmlformats.org/officeDocument/2006/relationships/hyperlink" Target="javascript:__doPostBack('ctl00$ContentPlaceHolder1$Grd_tot_detail$ctl14$hypNovember','')" TargetMode="External"/><Relationship Id="rId198" Type="http://schemas.openxmlformats.org/officeDocument/2006/relationships/hyperlink" Target="javascript:__doPostBack('ctl00$ContentPlaceHolder1$Grd_tot_detail$ctl16$hypapr','')" TargetMode="External"/><Relationship Id="rId321" Type="http://schemas.openxmlformats.org/officeDocument/2006/relationships/hyperlink" Target="javascript:__doPostBack('ctl00$ContentPlaceHolder1$Grd_tot_detail$ctl25$lbtnfreezsch','')" TargetMode="External"/><Relationship Id="rId342" Type="http://schemas.openxmlformats.org/officeDocument/2006/relationships/hyperlink" Target="javascript:__doPostBack('ctl00$ContentPlaceHolder1$Grd_tot_detail$ctl26$hypOcteber','')" TargetMode="External"/><Relationship Id="rId363" Type="http://schemas.openxmlformats.org/officeDocument/2006/relationships/hyperlink" Target="javascript:__doPostBack('ctl00$ContentPlaceHolder1$Grd_tot_detail$ctl28$lbtnfreezsch','')" TargetMode="External"/><Relationship Id="rId384" Type="http://schemas.openxmlformats.org/officeDocument/2006/relationships/hyperlink" Target="javascript:__doPostBack('ctl00$ContentPlaceHolder1$Grd_tot_detail$ctl29$hypOcteber','')" TargetMode="External"/><Relationship Id="rId419" Type="http://schemas.openxmlformats.org/officeDocument/2006/relationships/hyperlink" Target="javascript:__doPostBack('ctl00$ContentPlaceHolder1$Grd_tot_detail$ctl32$lbtnfreezsch','')" TargetMode="External"/><Relationship Id="rId202" Type="http://schemas.openxmlformats.org/officeDocument/2006/relationships/hyperlink" Target="javascript:__doPostBack('ctl00$ContentPlaceHolder1$Grd_tot_detail$ctl16$hypAugust','')" TargetMode="External"/><Relationship Id="rId223" Type="http://schemas.openxmlformats.org/officeDocument/2006/relationships/hyperlink" Target="javascript:__doPostBack('ctl00$ContentPlaceHolder1$Grd_tot_detail$ctl17$hypMarch','')" TargetMode="External"/><Relationship Id="rId244" Type="http://schemas.openxmlformats.org/officeDocument/2006/relationships/hyperlink" Target="javascript:__doPostBack('ctl00$ContentPlaceHolder1$Grd_tot_detail$ctl19$hypAugust','')" TargetMode="External"/><Relationship Id="rId430" Type="http://schemas.openxmlformats.org/officeDocument/2006/relationships/hyperlink" Target="javascript:__doPostBack('ctl00$ContentPlaceHolder1$Grd_tot_detail$ctl32$hypFeb','')" TargetMode="External"/><Relationship Id="rId18" Type="http://schemas.openxmlformats.org/officeDocument/2006/relationships/hyperlink" Target="javascript:__doPostBack('ctl00$ContentPlaceHolder1$Grd_tot_detail$ctl03$hypmay','')" TargetMode="External"/><Relationship Id="rId39" Type="http://schemas.openxmlformats.org/officeDocument/2006/relationships/hyperlink" Target="javascript:__doPostBack('ctl00$ContentPlaceHolder1$Grd_tot_detail$ctl04$hypDecember','')" TargetMode="External"/><Relationship Id="rId265" Type="http://schemas.openxmlformats.org/officeDocument/2006/relationships/hyperlink" Target="javascript:__doPostBack('ctl00$ContentPlaceHolder1$Grd_tot_detail$ctl20$hypMarch','')" TargetMode="External"/><Relationship Id="rId286" Type="http://schemas.openxmlformats.org/officeDocument/2006/relationships/hyperlink" Target="javascript:__doPostBack('ctl00$ContentPlaceHolder1$Grd_tot_detail$ctl22$hypSeptember','')" TargetMode="External"/><Relationship Id="rId451" Type="http://schemas.openxmlformats.org/officeDocument/2006/relationships/hyperlink" Target="javascript:__doPostBack('ctl00$ContentPlaceHolder1$Grd_tot_detail$ctl34$hypjuly','')" TargetMode="External"/><Relationship Id="rId50" Type="http://schemas.openxmlformats.org/officeDocument/2006/relationships/hyperlink" Target="javascript:__doPostBack('ctl00$ContentPlaceHolder1$Grd_tot_detail$ctl05$hypSeptember','')" TargetMode="External"/><Relationship Id="rId104" Type="http://schemas.openxmlformats.org/officeDocument/2006/relationships/hyperlink" Target="javascript:__doPostBack('ctl00$ContentPlaceHolder1$Grd_tot_detail$ctl09$hypjuly','')" TargetMode="External"/><Relationship Id="rId125" Type="http://schemas.openxmlformats.org/officeDocument/2006/relationships/hyperlink" Target="javascript:__doPostBack('ctl00$ContentPlaceHolder1$Grd_tot_detail$ctl10$hypFeb','')" TargetMode="External"/><Relationship Id="rId146" Type="http://schemas.openxmlformats.org/officeDocument/2006/relationships/hyperlink" Target="javascript:__doPostBack('ctl00$ContentPlaceHolder1$Grd_tot_detail$ctl12$hypjuly','')" TargetMode="External"/><Relationship Id="rId167" Type="http://schemas.openxmlformats.org/officeDocument/2006/relationships/hyperlink" Target="javascript:__doPostBack('ctl00$ContentPlaceHolder1$Grd_tot_detail$ctl13$hypFeb','')" TargetMode="External"/><Relationship Id="rId188" Type="http://schemas.openxmlformats.org/officeDocument/2006/relationships/hyperlink" Target="javascript:__doPostBack('ctl00$ContentPlaceHolder1$Grd_tot_detail$ctl15$hypAugust','')" TargetMode="External"/><Relationship Id="rId311" Type="http://schemas.openxmlformats.org/officeDocument/2006/relationships/hyperlink" Target="javascript:__doPostBack('ctl00$ContentPlaceHolder1$Grd_tot_detail$ctl24$hypjuly','')" TargetMode="External"/><Relationship Id="rId332" Type="http://schemas.openxmlformats.org/officeDocument/2006/relationships/hyperlink" Target="javascript:__doPostBack('ctl00$ContentPlaceHolder1$Grd_tot_detail$ctl25$hypFeb','')" TargetMode="External"/><Relationship Id="rId353" Type="http://schemas.openxmlformats.org/officeDocument/2006/relationships/hyperlink" Target="javascript:__doPostBack('ctl00$ContentPlaceHolder1$Grd_tot_detail$ctl27$hypjuly','')" TargetMode="External"/><Relationship Id="rId374" Type="http://schemas.openxmlformats.org/officeDocument/2006/relationships/hyperlink" Target="javascript:__doPostBack('ctl00$ContentPlaceHolder1$Grd_tot_detail$ctl28$hypFeb','')" TargetMode="External"/><Relationship Id="rId395" Type="http://schemas.openxmlformats.org/officeDocument/2006/relationships/hyperlink" Target="javascript:__doPostBack('ctl00$ContentPlaceHolder1$Grd_tot_detail$ctl30$hypjuly','')" TargetMode="External"/><Relationship Id="rId409" Type="http://schemas.openxmlformats.org/officeDocument/2006/relationships/hyperlink" Target="javascript:__doPostBack('ctl00$ContentPlaceHolder1$Grd_tot_detail$ctl31$hypjuly','')" TargetMode="External"/><Relationship Id="rId71" Type="http://schemas.openxmlformats.org/officeDocument/2006/relationships/hyperlink" Target="javascript:__doPostBack('ctl00$ContentPlaceHolder1$Grd_tot_detail$ctl07$lbtnttlsch','')" TargetMode="External"/><Relationship Id="rId92" Type="http://schemas.openxmlformats.org/officeDocument/2006/relationships/hyperlink" Target="javascript:__doPostBack('ctl00$ContentPlaceHolder1$Grd_tot_detail$ctl08$hypSeptember','')" TargetMode="External"/><Relationship Id="rId213" Type="http://schemas.openxmlformats.org/officeDocument/2006/relationships/hyperlink" Target="javascript:__doPostBack('ctl00$ContentPlaceHolder1$Grd_tot_detail$ctl17$hypmay','')" TargetMode="External"/><Relationship Id="rId234" Type="http://schemas.openxmlformats.org/officeDocument/2006/relationships/hyperlink" Target="javascript:__doPostBack('ctl00$ContentPlaceHolder1$Grd_tot_detail$ctl18$hypDecember','')" TargetMode="External"/><Relationship Id="rId420" Type="http://schemas.openxmlformats.org/officeDocument/2006/relationships/hyperlink" Target="javascript:__doPostBack('ctl00$ContentPlaceHolder1$Grd_tot_detail$ctl32$hypapr','')" TargetMode="External"/><Relationship Id="rId2" Type="http://schemas.openxmlformats.org/officeDocument/2006/relationships/hyperlink" Target="javascript:__doPostBack('ctl00$ContentPlaceHolder1$Grd_tot_detail$ctl02$lbtnfreezsch','')" TargetMode="External"/><Relationship Id="rId29" Type="http://schemas.openxmlformats.org/officeDocument/2006/relationships/hyperlink" Target="javascript:__doPostBack('ctl00$ContentPlaceHolder1$Grd_tot_detail$ctl04$lbtnttlsch','')" TargetMode="External"/><Relationship Id="rId255" Type="http://schemas.openxmlformats.org/officeDocument/2006/relationships/hyperlink" Target="javascript:__doPostBack('ctl00$ContentPlaceHolder1$Grd_tot_detail$ctl20$hypmay','')" TargetMode="External"/><Relationship Id="rId276" Type="http://schemas.openxmlformats.org/officeDocument/2006/relationships/hyperlink" Target="javascript:__doPostBack('ctl00$ContentPlaceHolder1$Grd_tot_detail$ctl21$hypDecember','')" TargetMode="External"/><Relationship Id="rId297" Type="http://schemas.openxmlformats.org/officeDocument/2006/relationships/hyperlink" Target="javascript:__doPostBack('ctl00$ContentPlaceHolder1$Grd_tot_detail$ctl23$hypjuly','')" TargetMode="External"/><Relationship Id="rId441" Type="http://schemas.openxmlformats.org/officeDocument/2006/relationships/hyperlink" Target="javascript:__doPostBack('ctl00$ContentPlaceHolder1$Grd_tot_detail$ctl33$hypNovember','')" TargetMode="External"/><Relationship Id="rId40" Type="http://schemas.openxmlformats.org/officeDocument/2006/relationships/hyperlink" Target="javascript:__doPostBack('ctl00$ContentPlaceHolder1$Grd_tot_detail$ctl04$hypJanuary','')" TargetMode="External"/><Relationship Id="rId115" Type="http://schemas.openxmlformats.org/officeDocument/2006/relationships/hyperlink" Target="javascript:__doPostBack('ctl00$ContentPlaceHolder1$Grd_tot_detail$ctl10$hypapr','')" TargetMode="External"/><Relationship Id="rId136" Type="http://schemas.openxmlformats.org/officeDocument/2006/relationships/hyperlink" Target="javascript:__doPostBack('ctl00$ContentPlaceHolder1$Grd_tot_detail$ctl11$hypNovember','')" TargetMode="External"/><Relationship Id="rId157" Type="http://schemas.openxmlformats.org/officeDocument/2006/relationships/hyperlink" Target="javascript:__doPostBack('ctl00$ContentPlaceHolder1$Grd_tot_detail$ctl13$hypapr','')" TargetMode="External"/><Relationship Id="rId178" Type="http://schemas.openxmlformats.org/officeDocument/2006/relationships/hyperlink" Target="javascript:__doPostBack('ctl00$ContentPlaceHolder1$Grd_tot_detail$ctl14$hypDecember','')" TargetMode="External"/><Relationship Id="rId301" Type="http://schemas.openxmlformats.org/officeDocument/2006/relationships/hyperlink" Target="javascript:__doPostBack('ctl00$ContentPlaceHolder1$Grd_tot_detail$ctl23$hypNovember','')" TargetMode="External"/><Relationship Id="rId322" Type="http://schemas.openxmlformats.org/officeDocument/2006/relationships/hyperlink" Target="javascript:__doPostBack('ctl00$ContentPlaceHolder1$Grd_tot_detail$ctl25$hypapr','')" TargetMode="External"/><Relationship Id="rId343" Type="http://schemas.openxmlformats.org/officeDocument/2006/relationships/hyperlink" Target="javascript:__doPostBack('ctl00$ContentPlaceHolder1$Grd_tot_detail$ctl26$hypNovember','')" TargetMode="External"/><Relationship Id="rId364" Type="http://schemas.openxmlformats.org/officeDocument/2006/relationships/hyperlink" Target="javascript:__doPostBack('ctl00$ContentPlaceHolder1$Grd_tot_detail$ctl28$hypapr','')" TargetMode="External"/><Relationship Id="rId61" Type="http://schemas.openxmlformats.org/officeDocument/2006/relationships/hyperlink" Target="javascript:__doPostBack('ctl00$ContentPlaceHolder1$Grd_tot_detail$ctl06$hypjune','')" TargetMode="External"/><Relationship Id="rId82" Type="http://schemas.openxmlformats.org/officeDocument/2006/relationships/hyperlink" Target="javascript:__doPostBack('ctl00$ContentPlaceHolder1$Grd_tot_detail$ctl07$hypJanuary','')" TargetMode="External"/><Relationship Id="rId199" Type="http://schemas.openxmlformats.org/officeDocument/2006/relationships/hyperlink" Target="javascript:__doPostBack('ctl00$ContentPlaceHolder1$Grd_tot_detail$ctl16$hypmay','')" TargetMode="External"/><Relationship Id="rId203" Type="http://schemas.openxmlformats.org/officeDocument/2006/relationships/hyperlink" Target="javascript:__doPostBack('ctl00$ContentPlaceHolder1$Grd_tot_detail$ctl16$hypSeptember','')" TargetMode="External"/><Relationship Id="rId385" Type="http://schemas.openxmlformats.org/officeDocument/2006/relationships/hyperlink" Target="javascript:__doPostBack('ctl00$ContentPlaceHolder1$Grd_tot_detail$ctl29$hypNovember','')" TargetMode="External"/><Relationship Id="rId19" Type="http://schemas.openxmlformats.org/officeDocument/2006/relationships/hyperlink" Target="javascript:__doPostBack('ctl00$ContentPlaceHolder1$Grd_tot_detail$ctl03$hypjune','')" TargetMode="External"/><Relationship Id="rId224" Type="http://schemas.openxmlformats.org/officeDocument/2006/relationships/hyperlink" Target="javascript:__doPostBack('ctl00$ContentPlaceHolder1$Grd_tot_detail$ctl18$lbtnttlsch','')" TargetMode="External"/><Relationship Id="rId245" Type="http://schemas.openxmlformats.org/officeDocument/2006/relationships/hyperlink" Target="javascript:__doPostBack('ctl00$ContentPlaceHolder1$Grd_tot_detail$ctl19$hypSeptember','')" TargetMode="External"/><Relationship Id="rId266" Type="http://schemas.openxmlformats.org/officeDocument/2006/relationships/hyperlink" Target="javascript:__doPostBack('ctl00$ContentPlaceHolder1$Grd_tot_detail$ctl21$lbtnttlsch','')" TargetMode="External"/><Relationship Id="rId287" Type="http://schemas.openxmlformats.org/officeDocument/2006/relationships/hyperlink" Target="javascript:__doPostBack('ctl00$ContentPlaceHolder1$Grd_tot_detail$ctl22$hypOcteber','')" TargetMode="External"/><Relationship Id="rId410" Type="http://schemas.openxmlformats.org/officeDocument/2006/relationships/hyperlink" Target="javascript:__doPostBack('ctl00$ContentPlaceHolder1$Grd_tot_detail$ctl31$hypAugust','')" TargetMode="External"/><Relationship Id="rId431" Type="http://schemas.openxmlformats.org/officeDocument/2006/relationships/hyperlink" Target="javascript:__doPostBack('ctl00$ContentPlaceHolder1$Grd_tot_detail$ctl32$hypMarch','')" TargetMode="External"/><Relationship Id="rId452" Type="http://schemas.openxmlformats.org/officeDocument/2006/relationships/hyperlink" Target="javascript:__doPostBack('ctl00$ContentPlaceHolder1$Grd_tot_detail$ctl34$hypAugust','')" TargetMode="External"/><Relationship Id="rId30" Type="http://schemas.openxmlformats.org/officeDocument/2006/relationships/hyperlink" Target="javascript:__doPostBack('ctl00$ContentPlaceHolder1$Grd_tot_detail$ctl04$lbtnfreezsch','')" TargetMode="External"/><Relationship Id="rId105" Type="http://schemas.openxmlformats.org/officeDocument/2006/relationships/hyperlink" Target="javascript:__doPostBack('ctl00$ContentPlaceHolder1$Grd_tot_detail$ctl09$hypAugust','')" TargetMode="External"/><Relationship Id="rId126" Type="http://schemas.openxmlformats.org/officeDocument/2006/relationships/hyperlink" Target="javascript:__doPostBack('ctl00$ContentPlaceHolder1$Grd_tot_detail$ctl10$hypMarch','')" TargetMode="External"/><Relationship Id="rId147" Type="http://schemas.openxmlformats.org/officeDocument/2006/relationships/hyperlink" Target="javascript:__doPostBack('ctl00$ContentPlaceHolder1$Grd_tot_detail$ctl12$hypAugust','')" TargetMode="External"/><Relationship Id="rId168" Type="http://schemas.openxmlformats.org/officeDocument/2006/relationships/hyperlink" Target="javascript:__doPostBack('ctl00$ContentPlaceHolder1$Grd_tot_detail$ctl14$lbtnttlsch','')" TargetMode="External"/><Relationship Id="rId312" Type="http://schemas.openxmlformats.org/officeDocument/2006/relationships/hyperlink" Target="javascript:__doPostBack('ctl00$ContentPlaceHolder1$Grd_tot_detail$ctl24$hypAugust','')" TargetMode="External"/><Relationship Id="rId333" Type="http://schemas.openxmlformats.org/officeDocument/2006/relationships/hyperlink" Target="javascript:__doPostBack('ctl00$ContentPlaceHolder1$Grd_tot_detail$ctl25$hypMarch','')" TargetMode="External"/><Relationship Id="rId354" Type="http://schemas.openxmlformats.org/officeDocument/2006/relationships/hyperlink" Target="javascript:__doPostBack('ctl00$ContentPlaceHolder1$Grd_tot_detail$ctl27$hypAugust','')" TargetMode="External"/><Relationship Id="rId51" Type="http://schemas.openxmlformats.org/officeDocument/2006/relationships/hyperlink" Target="javascript:__doPostBack('ctl00$ContentPlaceHolder1$Grd_tot_detail$ctl05$hypOcteber','')" TargetMode="External"/><Relationship Id="rId72" Type="http://schemas.openxmlformats.org/officeDocument/2006/relationships/hyperlink" Target="javascript:__doPostBack('ctl00$ContentPlaceHolder1$Grd_tot_detail$ctl07$lbtnfreezsch','')" TargetMode="External"/><Relationship Id="rId93" Type="http://schemas.openxmlformats.org/officeDocument/2006/relationships/hyperlink" Target="javascript:__doPostBack('ctl00$ContentPlaceHolder1$Grd_tot_detail$ctl08$hypOcteber','')" TargetMode="External"/><Relationship Id="rId189" Type="http://schemas.openxmlformats.org/officeDocument/2006/relationships/hyperlink" Target="javascript:__doPostBack('ctl00$ContentPlaceHolder1$Grd_tot_detail$ctl15$hypSeptember','')" TargetMode="External"/><Relationship Id="rId375" Type="http://schemas.openxmlformats.org/officeDocument/2006/relationships/hyperlink" Target="javascript:__doPostBack('ctl00$ContentPlaceHolder1$Grd_tot_detail$ctl28$hypMarch','')" TargetMode="External"/><Relationship Id="rId396" Type="http://schemas.openxmlformats.org/officeDocument/2006/relationships/hyperlink" Target="javascript:__doPostBack('ctl00$ContentPlaceHolder1$Grd_tot_detail$ctl30$hypAugust','')" TargetMode="External"/><Relationship Id="rId3" Type="http://schemas.openxmlformats.org/officeDocument/2006/relationships/hyperlink" Target="javascript:__doPostBack('ctl00$ContentPlaceHolder1$Grd_tot_detail$ctl02$hypapr','')" TargetMode="External"/><Relationship Id="rId214" Type="http://schemas.openxmlformats.org/officeDocument/2006/relationships/hyperlink" Target="javascript:__doPostBack('ctl00$ContentPlaceHolder1$Grd_tot_detail$ctl17$hypjune','')" TargetMode="External"/><Relationship Id="rId235" Type="http://schemas.openxmlformats.org/officeDocument/2006/relationships/hyperlink" Target="javascript:__doPostBack('ctl00$ContentPlaceHolder1$Grd_tot_detail$ctl18$hypJanuary','')" TargetMode="External"/><Relationship Id="rId256" Type="http://schemas.openxmlformats.org/officeDocument/2006/relationships/hyperlink" Target="javascript:__doPostBack('ctl00$ContentPlaceHolder1$Grd_tot_detail$ctl20$hypjune','')" TargetMode="External"/><Relationship Id="rId277" Type="http://schemas.openxmlformats.org/officeDocument/2006/relationships/hyperlink" Target="javascript:__doPostBack('ctl00$ContentPlaceHolder1$Grd_tot_detail$ctl21$hypJanuary','')" TargetMode="External"/><Relationship Id="rId298" Type="http://schemas.openxmlformats.org/officeDocument/2006/relationships/hyperlink" Target="javascript:__doPostBack('ctl00$ContentPlaceHolder1$Grd_tot_detail$ctl23$hypAugust','')" TargetMode="External"/><Relationship Id="rId400" Type="http://schemas.openxmlformats.org/officeDocument/2006/relationships/hyperlink" Target="javascript:__doPostBack('ctl00$ContentPlaceHolder1$Grd_tot_detail$ctl30$hypDecember','')" TargetMode="External"/><Relationship Id="rId421" Type="http://schemas.openxmlformats.org/officeDocument/2006/relationships/hyperlink" Target="javascript:__doPostBack('ctl00$ContentPlaceHolder1$Grd_tot_detail$ctl32$hypmay','')" TargetMode="External"/><Relationship Id="rId442" Type="http://schemas.openxmlformats.org/officeDocument/2006/relationships/hyperlink" Target="javascript:__doPostBack('ctl00$ContentPlaceHolder1$Grd_tot_detail$ctl33$hypDecember','')" TargetMode="External"/><Relationship Id="rId116" Type="http://schemas.openxmlformats.org/officeDocument/2006/relationships/hyperlink" Target="javascript:__doPostBack('ctl00$ContentPlaceHolder1$Grd_tot_detail$ctl10$hypmay','')" TargetMode="External"/><Relationship Id="rId137" Type="http://schemas.openxmlformats.org/officeDocument/2006/relationships/hyperlink" Target="javascript:__doPostBack('ctl00$ContentPlaceHolder1$Grd_tot_detail$ctl11$hypDecember','')" TargetMode="External"/><Relationship Id="rId158" Type="http://schemas.openxmlformats.org/officeDocument/2006/relationships/hyperlink" Target="javascript:__doPostBack('ctl00$ContentPlaceHolder1$Grd_tot_detail$ctl13$hypmay','')" TargetMode="External"/><Relationship Id="rId302" Type="http://schemas.openxmlformats.org/officeDocument/2006/relationships/hyperlink" Target="javascript:__doPostBack('ctl00$ContentPlaceHolder1$Grd_tot_detail$ctl23$hypDecember','')" TargetMode="External"/><Relationship Id="rId323" Type="http://schemas.openxmlformats.org/officeDocument/2006/relationships/hyperlink" Target="javascript:__doPostBack('ctl00$ContentPlaceHolder1$Grd_tot_detail$ctl25$hypmay','')" TargetMode="External"/><Relationship Id="rId344" Type="http://schemas.openxmlformats.org/officeDocument/2006/relationships/hyperlink" Target="javascript:__doPostBack('ctl00$ContentPlaceHolder1$Grd_tot_detail$ctl26$hypDecember','')" TargetMode="External"/><Relationship Id="rId20" Type="http://schemas.openxmlformats.org/officeDocument/2006/relationships/hyperlink" Target="javascript:__doPostBack('ctl00$ContentPlaceHolder1$Grd_tot_detail$ctl03$hypjuly','')" TargetMode="External"/><Relationship Id="rId41" Type="http://schemas.openxmlformats.org/officeDocument/2006/relationships/hyperlink" Target="javascript:__doPostBack('ctl00$ContentPlaceHolder1$Grd_tot_detail$ctl04$hypFeb','')" TargetMode="External"/><Relationship Id="rId62" Type="http://schemas.openxmlformats.org/officeDocument/2006/relationships/hyperlink" Target="javascript:__doPostBack('ctl00$ContentPlaceHolder1$Grd_tot_detail$ctl06$hypjuly','')" TargetMode="External"/><Relationship Id="rId83" Type="http://schemas.openxmlformats.org/officeDocument/2006/relationships/hyperlink" Target="javascript:__doPostBack('ctl00$ContentPlaceHolder1$Grd_tot_detail$ctl07$hypFeb','')" TargetMode="External"/><Relationship Id="rId179" Type="http://schemas.openxmlformats.org/officeDocument/2006/relationships/hyperlink" Target="javascript:__doPostBack('ctl00$ContentPlaceHolder1$Grd_tot_detail$ctl14$hypJanuary','')" TargetMode="External"/><Relationship Id="rId365" Type="http://schemas.openxmlformats.org/officeDocument/2006/relationships/hyperlink" Target="javascript:__doPostBack('ctl00$ContentPlaceHolder1$Grd_tot_detail$ctl28$hypmay','')" TargetMode="External"/><Relationship Id="rId386" Type="http://schemas.openxmlformats.org/officeDocument/2006/relationships/hyperlink" Target="javascript:__doPostBack('ctl00$ContentPlaceHolder1$Grd_tot_detail$ctl29$hypDecember','')" TargetMode="External"/><Relationship Id="rId190" Type="http://schemas.openxmlformats.org/officeDocument/2006/relationships/hyperlink" Target="javascript:__doPostBack('ctl00$ContentPlaceHolder1$Grd_tot_detail$ctl15$hypOcteber','')" TargetMode="External"/><Relationship Id="rId204" Type="http://schemas.openxmlformats.org/officeDocument/2006/relationships/hyperlink" Target="javascript:__doPostBack('ctl00$ContentPlaceHolder1$Grd_tot_detail$ctl16$hypOcteber','')" TargetMode="External"/><Relationship Id="rId225" Type="http://schemas.openxmlformats.org/officeDocument/2006/relationships/hyperlink" Target="javascript:__doPostBack('ctl00$ContentPlaceHolder1$Grd_tot_detail$ctl18$lbtnfreezsch','')" TargetMode="External"/><Relationship Id="rId246" Type="http://schemas.openxmlformats.org/officeDocument/2006/relationships/hyperlink" Target="javascript:__doPostBack('ctl00$ContentPlaceHolder1$Grd_tot_detail$ctl19$hypOcteber','')" TargetMode="External"/><Relationship Id="rId267" Type="http://schemas.openxmlformats.org/officeDocument/2006/relationships/hyperlink" Target="javascript:__doPostBack('ctl00$ContentPlaceHolder1$Grd_tot_detail$ctl21$lbtnfreezsch','')" TargetMode="External"/><Relationship Id="rId288" Type="http://schemas.openxmlformats.org/officeDocument/2006/relationships/hyperlink" Target="javascript:__doPostBack('ctl00$ContentPlaceHolder1$Grd_tot_detail$ctl22$hypNovember','')" TargetMode="External"/><Relationship Id="rId411" Type="http://schemas.openxmlformats.org/officeDocument/2006/relationships/hyperlink" Target="javascript:__doPostBack('ctl00$ContentPlaceHolder1$Grd_tot_detail$ctl31$hypSeptember','')" TargetMode="External"/><Relationship Id="rId432" Type="http://schemas.openxmlformats.org/officeDocument/2006/relationships/hyperlink" Target="javascript:__doPostBack('ctl00$ContentPlaceHolder1$Grd_tot_detail$ctl33$lbtnttlsch','')" TargetMode="External"/><Relationship Id="rId453" Type="http://schemas.openxmlformats.org/officeDocument/2006/relationships/hyperlink" Target="javascript:__doPostBack('ctl00$ContentPlaceHolder1$Grd_tot_detail$ctl34$hypSeptember','')" TargetMode="External"/><Relationship Id="rId106" Type="http://schemas.openxmlformats.org/officeDocument/2006/relationships/hyperlink" Target="javascript:__doPostBack('ctl00$ContentPlaceHolder1$Grd_tot_detail$ctl09$hypSeptember','')" TargetMode="External"/><Relationship Id="rId127" Type="http://schemas.openxmlformats.org/officeDocument/2006/relationships/hyperlink" Target="javascript:__doPostBack('ctl00$ContentPlaceHolder1$Grd_tot_detail$ctl11$lbtnttlsch','')" TargetMode="External"/><Relationship Id="rId313" Type="http://schemas.openxmlformats.org/officeDocument/2006/relationships/hyperlink" Target="javascript:__doPostBack('ctl00$ContentPlaceHolder1$Grd_tot_detail$ctl24$hypSeptember','')" TargetMode="External"/><Relationship Id="rId10" Type="http://schemas.openxmlformats.org/officeDocument/2006/relationships/hyperlink" Target="javascript:__doPostBack('ctl00$ContentPlaceHolder1$Grd_tot_detail$ctl02$hypNovember','')" TargetMode="External"/><Relationship Id="rId31" Type="http://schemas.openxmlformats.org/officeDocument/2006/relationships/hyperlink" Target="javascript:__doPostBack('ctl00$ContentPlaceHolder1$Grd_tot_detail$ctl04$hypapr','')" TargetMode="External"/><Relationship Id="rId52" Type="http://schemas.openxmlformats.org/officeDocument/2006/relationships/hyperlink" Target="javascript:__doPostBack('ctl00$ContentPlaceHolder1$Grd_tot_detail$ctl05$hypNovember','')" TargetMode="External"/><Relationship Id="rId73" Type="http://schemas.openxmlformats.org/officeDocument/2006/relationships/hyperlink" Target="javascript:__doPostBack('ctl00$ContentPlaceHolder1$Grd_tot_detail$ctl07$hypapr','')" TargetMode="External"/><Relationship Id="rId94" Type="http://schemas.openxmlformats.org/officeDocument/2006/relationships/hyperlink" Target="javascript:__doPostBack('ctl00$ContentPlaceHolder1$Grd_tot_detail$ctl08$hypNovember','')" TargetMode="External"/><Relationship Id="rId148" Type="http://schemas.openxmlformats.org/officeDocument/2006/relationships/hyperlink" Target="javascript:__doPostBack('ctl00$ContentPlaceHolder1$Grd_tot_detail$ctl12$hypSeptember','')" TargetMode="External"/><Relationship Id="rId169" Type="http://schemas.openxmlformats.org/officeDocument/2006/relationships/hyperlink" Target="javascript:__doPostBack('ctl00$ContentPlaceHolder1$Grd_tot_detail$ctl14$lbtnfreezsch','')" TargetMode="External"/><Relationship Id="rId334" Type="http://schemas.openxmlformats.org/officeDocument/2006/relationships/hyperlink" Target="javascript:__doPostBack('ctl00$ContentPlaceHolder1$Grd_tot_detail$ctl26$lbtnttlsch','')" TargetMode="External"/><Relationship Id="rId355" Type="http://schemas.openxmlformats.org/officeDocument/2006/relationships/hyperlink" Target="javascript:__doPostBack('ctl00$ContentPlaceHolder1$Grd_tot_detail$ctl27$hypSeptember','')" TargetMode="External"/><Relationship Id="rId376" Type="http://schemas.openxmlformats.org/officeDocument/2006/relationships/hyperlink" Target="javascript:__doPostBack('ctl00$ContentPlaceHolder1$Grd_tot_detail$ctl29$lbtnttlsch','')" TargetMode="External"/><Relationship Id="rId397" Type="http://schemas.openxmlformats.org/officeDocument/2006/relationships/hyperlink" Target="javascript:__doPostBack('ctl00$ContentPlaceHolder1$Grd_tot_detail$ctl30$hypSeptember','')" TargetMode="External"/><Relationship Id="rId4" Type="http://schemas.openxmlformats.org/officeDocument/2006/relationships/hyperlink" Target="javascript:__doPostBack('ctl00$ContentPlaceHolder1$Grd_tot_detail$ctl02$hypmay','')" TargetMode="External"/><Relationship Id="rId180" Type="http://schemas.openxmlformats.org/officeDocument/2006/relationships/hyperlink" Target="javascript:__doPostBack('ctl00$ContentPlaceHolder1$Grd_tot_detail$ctl14$hypFeb','')" TargetMode="External"/><Relationship Id="rId215" Type="http://schemas.openxmlformats.org/officeDocument/2006/relationships/hyperlink" Target="javascript:__doPostBack('ctl00$ContentPlaceHolder1$Grd_tot_detail$ctl17$hypjuly','')" TargetMode="External"/><Relationship Id="rId236" Type="http://schemas.openxmlformats.org/officeDocument/2006/relationships/hyperlink" Target="javascript:__doPostBack('ctl00$ContentPlaceHolder1$Grd_tot_detail$ctl18$hypFeb','')" TargetMode="External"/><Relationship Id="rId257" Type="http://schemas.openxmlformats.org/officeDocument/2006/relationships/hyperlink" Target="javascript:__doPostBack('ctl00$ContentPlaceHolder1$Grd_tot_detail$ctl20$hypjuly','')" TargetMode="External"/><Relationship Id="rId278" Type="http://schemas.openxmlformats.org/officeDocument/2006/relationships/hyperlink" Target="javascript:__doPostBack('ctl00$ContentPlaceHolder1$Grd_tot_detail$ctl21$hypFeb','')" TargetMode="External"/><Relationship Id="rId401" Type="http://schemas.openxmlformats.org/officeDocument/2006/relationships/hyperlink" Target="javascript:__doPostBack('ctl00$ContentPlaceHolder1$Grd_tot_detail$ctl30$hypJanuary','')" TargetMode="External"/><Relationship Id="rId422" Type="http://schemas.openxmlformats.org/officeDocument/2006/relationships/hyperlink" Target="javascript:__doPostBack('ctl00$ContentPlaceHolder1$Grd_tot_detail$ctl32$hypjune','')" TargetMode="External"/><Relationship Id="rId443" Type="http://schemas.openxmlformats.org/officeDocument/2006/relationships/hyperlink" Target="javascript:__doPostBack('ctl00$ContentPlaceHolder1$Grd_tot_detail$ctl33$hypJanuary','')" TargetMode="External"/><Relationship Id="rId303" Type="http://schemas.openxmlformats.org/officeDocument/2006/relationships/hyperlink" Target="javascript:__doPostBack('ctl00$ContentPlaceHolder1$Grd_tot_detail$ctl23$hypJanuary','')" TargetMode="External"/><Relationship Id="rId42" Type="http://schemas.openxmlformats.org/officeDocument/2006/relationships/hyperlink" Target="javascript:__doPostBack('ctl00$ContentPlaceHolder1$Grd_tot_detail$ctl04$hypMarch','')" TargetMode="External"/><Relationship Id="rId84" Type="http://schemas.openxmlformats.org/officeDocument/2006/relationships/hyperlink" Target="javascript:__doPostBack('ctl00$ContentPlaceHolder1$Grd_tot_detail$ctl07$hypMarch','')" TargetMode="External"/><Relationship Id="rId138" Type="http://schemas.openxmlformats.org/officeDocument/2006/relationships/hyperlink" Target="javascript:__doPostBack('ctl00$ContentPlaceHolder1$Grd_tot_detail$ctl11$hypJanuary','')" TargetMode="External"/><Relationship Id="rId345" Type="http://schemas.openxmlformats.org/officeDocument/2006/relationships/hyperlink" Target="javascript:__doPostBack('ctl00$ContentPlaceHolder1$Grd_tot_detail$ctl26$hypJanuary','')" TargetMode="External"/><Relationship Id="rId387" Type="http://schemas.openxmlformats.org/officeDocument/2006/relationships/hyperlink" Target="javascript:__doPostBack('ctl00$ContentPlaceHolder1$Grd_tot_detail$ctl29$hypJanuary','')" TargetMode="External"/><Relationship Id="rId191" Type="http://schemas.openxmlformats.org/officeDocument/2006/relationships/hyperlink" Target="javascript:__doPostBack('ctl00$ContentPlaceHolder1$Grd_tot_detail$ctl15$hypNovember','')" TargetMode="External"/><Relationship Id="rId205" Type="http://schemas.openxmlformats.org/officeDocument/2006/relationships/hyperlink" Target="javascript:__doPostBack('ctl00$ContentPlaceHolder1$Grd_tot_detail$ctl16$hypNovember','')" TargetMode="External"/><Relationship Id="rId247" Type="http://schemas.openxmlformats.org/officeDocument/2006/relationships/hyperlink" Target="javascript:__doPostBack('ctl00$ContentPlaceHolder1$Grd_tot_detail$ctl19$hypNovember','')" TargetMode="External"/><Relationship Id="rId412" Type="http://schemas.openxmlformats.org/officeDocument/2006/relationships/hyperlink" Target="javascript:__doPostBack('ctl00$ContentPlaceHolder1$Grd_tot_detail$ctl31$hypOcteber','')" TargetMode="External"/><Relationship Id="rId107" Type="http://schemas.openxmlformats.org/officeDocument/2006/relationships/hyperlink" Target="javascript:__doPostBack('ctl00$ContentPlaceHolder1$Grd_tot_detail$ctl09$hypOcteber','')" TargetMode="External"/><Relationship Id="rId289" Type="http://schemas.openxmlformats.org/officeDocument/2006/relationships/hyperlink" Target="javascript:__doPostBack('ctl00$ContentPlaceHolder1$Grd_tot_detail$ctl22$hypDecember','')" TargetMode="External"/><Relationship Id="rId454" Type="http://schemas.openxmlformats.org/officeDocument/2006/relationships/hyperlink" Target="javascript:__doPostBack('ctl00$ContentPlaceHolder1$Grd_tot_detail$ctl34$hypOcteber','')" TargetMode="External"/><Relationship Id="rId11" Type="http://schemas.openxmlformats.org/officeDocument/2006/relationships/hyperlink" Target="javascript:__doPostBack('ctl00$ContentPlaceHolder1$Grd_tot_detail$ctl02$hypDecember','')" TargetMode="External"/><Relationship Id="rId53" Type="http://schemas.openxmlformats.org/officeDocument/2006/relationships/hyperlink" Target="javascript:__doPostBack('ctl00$ContentPlaceHolder1$Grd_tot_detail$ctl05$hypDecember','')" TargetMode="External"/><Relationship Id="rId149" Type="http://schemas.openxmlformats.org/officeDocument/2006/relationships/hyperlink" Target="javascript:__doPostBack('ctl00$ContentPlaceHolder1$Grd_tot_detail$ctl12$hypOcteber','')" TargetMode="External"/><Relationship Id="rId314" Type="http://schemas.openxmlformats.org/officeDocument/2006/relationships/hyperlink" Target="javascript:__doPostBack('ctl00$ContentPlaceHolder1$Grd_tot_detail$ctl24$hypOcteber','')" TargetMode="External"/><Relationship Id="rId356" Type="http://schemas.openxmlformats.org/officeDocument/2006/relationships/hyperlink" Target="javascript:__doPostBack('ctl00$ContentPlaceHolder1$Grd_tot_detail$ctl27$hypOcteber','')" TargetMode="External"/><Relationship Id="rId398" Type="http://schemas.openxmlformats.org/officeDocument/2006/relationships/hyperlink" Target="javascript:__doPostBack('ctl00$ContentPlaceHolder1$Grd_tot_detail$ctl30$hypOcteber','')" TargetMode="External"/><Relationship Id="rId95" Type="http://schemas.openxmlformats.org/officeDocument/2006/relationships/hyperlink" Target="javascript:__doPostBack('ctl00$ContentPlaceHolder1$Grd_tot_detail$ctl08$hypDecember','')" TargetMode="External"/><Relationship Id="rId160" Type="http://schemas.openxmlformats.org/officeDocument/2006/relationships/hyperlink" Target="javascript:__doPostBack('ctl00$ContentPlaceHolder1$Grd_tot_detail$ctl13$hypjuly','')" TargetMode="External"/><Relationship Id="rId216" Type="http://schemas.openxmlformats.org/officeDocument/2006/relationships/hyperlink" Target="javascript:__doPostBack('ctl00$ContentPlaceHolder1$Grd_tot_detail$ctl17$hypAugust','')" TargetMode="External"/><Relationship Id="rId423" Type="http://schemas.openxmlformats.org/officeDocument/2006/relationships/hyperlink" Target="javascript:__doPostBack('ctl00$ContentPlaceHolder1$Grd_tot_detail$ctl32$hypjuly','')" TargetMode="External"/><Relationship Id="rId258" Type="http://schemas.openxmlformats.org/officeDocument/2006/relationships/hyperlink" Target="javascript:__doPostBack('ctl00$ContentPlaceHolder1$Grd_tot_detail$ctl20$hypAugust','')" TargetMode="External"/><Relationship Id="rId22" Type="http://schemas.openxmlformats.org/officeDocument/2006/relationships/hyperlink" Target="javascript:__doPostBack('ctl00$ContentPlaceHolder1$Grd_tot_detail$ctl03$hypSeptember','')" TargetMode="External"/><Relationship Id="rId64" Type="http://schemas.openxmlformats.org/officeDocument/2006/relationships/hyperlink" Target="javascript:__doPostBack('ctl00$ContentPlaceHolder1$Grd_tot_detail$ctl06$hypSeptember','')" TargetMode="External"/><Relationship Id="rId118" Type="http://schemas.openxmlformats.org/officeDocument/2006/relationships/hyperlink" Target="javascript:__doPostBack('ctl00$ContentPlaceHolder1$Grd_tot_detail$ctl10$hypjuly','')" TargetMode="External"/><Relationship Id="rId325" Type="http://schemas.openxmlformats.org/officeDocument/2006/relationships/hyperlink" Target="javascript:__doPostBack('ctl00$ContentPlaceHolder1$Grd_tot_detail$ctl25$hypjuly','')" TargetMode="External"/><Relationship Id="rId367" Type="http://schemas.openxmlformats.org/officeDocument/2006/relationships/hyperlink" Target="javascript:__doPostBack('ctl00$ContentPlaceHolder1$Grd_tot_detail$ctl28$hypjuly','')" TargetMode="External"/><Relationship Id="rId171" Type="http://schemas.openxmlformats.org/officeDocument/2006/relationships/hyperlink" Target="javascript:__doPostBack('ctl00$ContentPlaceHolder1$Grd_tot_detail$ctl14$hypmay','')" TargetMode="External"/><Relationship Id="rId227" Type="http://schemas.openxmlformats.org/officeDocument/2006/relationships/hyperlink" Target="javascript:__doPostBack('ctl00$ContentPlaceHolder1$Grd_tot_detail$ctl18$hypmay','')" TargetMode="External"/><Relationship Id="rId269" Type="http://schemas.openxmlformats.org/officeDocument/2006/relationships/hyperlink" Target="javascript:__doPostBack('ctl00$ContentPlaceHolder1$Grd_tot_detail$ctl21$hypmay','')" TargetMode="External"/><Relationship Id="rId434" Type="http://schemas.openxmlformats.org/officeDocument/2006/relationships/hyperlink" Target="javascript:__doPostBack('ctl00$ContentPlaceHolder1$Grd_tot_detail$ctl33$hypapr','')" TargetMode="External"/><Relationship Id="rId33" Type="http://schemas.openxmlformats.org/officeDocument/2006/relationships/hyperlink" Target="javascript:__doPostBack('ctl00$ContentPlaceHolder1$Grd_tot_detail$ctl04$hypjune','')" TargetMode="External"/><Relationship Id="rId129" Type="http://schemas.openxmlformats.org/officeDocument/2006/relationships/hyperlink" Target="javascript:__doPostBack('ctl00$ContentPlaceHolder1$Grd_tot_detail$ctl11$hypapr','')" TargetMode="External"/><Relationship Id="rId280" Type="http://schemas.openxmlformats.org/officeDocument/2006/relationships/hyperlink" Target="javascript:__doPostBack('ctl00$ContentPlaceHolder1$Grd_tot_detail$ctl22$lbtnfreezsch','')" TargetMode="External"/><Relationship Id="rId336" Type="http://schemas.openxmlformats.org/officeDocument/2006/relationships/hyperlink" Target="javascript:__doPostBack('ctl00$ContentPlaceHolder1$Grd_tot_detail$ctl26$hypapr','')" TargetMode="External"/><Relationship Id="rId75" Type="http://schemas.openxmlformats.org/officeDocument/2006/relationships/hyperlink" Target="javascript:__doPostBack('ctl00$ContentPlaceHolder1$Grd_tot_detail$ctl07$hypjune','')" TargetMode="External"/><Relationship Id="rId140" Type="http://schemas.openxmlformats.org/officeDocument/2006/relationships/hyperlink" Target="javascript:__doPostBack('ctl00$ContentPlaceHolder1$Grd_tot_detail$ctl11$hypMarch','')" TargetMode="External"/><Relationship Id="rId182" Type="http://schemas.openxmlformats.org/officeDocument/2006/relationships/hyperlink" Target="javascript:__doPostBack('ctl00$ContentPlaceHolder1$Grd_tot_detail$ctl15$lbtnttlsch','')" TargetMode="External"/><Relationship Id="rId378" Type="http://schemas.openxmlformats.org/officeDocument/2006/relationships/hyperlink" Target="javascript:__doPostBack('ctl00$ContentPlaceHolder1$Grd_tot_detail$ctl29$hypapr','')" TargetMode="External"/><Relationship Id="rId403" Type="http://schemas.openxmlformats.org/officeDocument/2006/relationships/hyperlink" Target="javascript:__doPostBack('ctl00$ContentPlaceHolder1$Grd_tot_detail$ctl30$hypMarch','')" TargetMode="External"/><Relationship Id="rId6" Type="http://schemas.openxmlformats.org/officeDocument/2006/relationships/hyperlink" Target="javascript:__doPostBack('ctl00$ContentPlaceHolder1$Grd_tot_detail$ctl02$hypjuly','')" TargetMode="External"/><Relationship Id="rId238" Type="http://schemas.openxmlformats.org/officeDocument/2006/relationships/hyperlink" Target="javascript:__doPostBack('ctl00$ContentPlaceHolder1$Grd_tot_detail$ctl19$lbtnttlsch','')" TargetMode="External"/><Relationship Id="rId445" Type="http://schemas.openxmlformats.org/officeDocument/2006/relationships/hyperlink" Target="javascript:__doPostBack('ctl00$ContentPlaceHolder1$Grd_tot_detail$ctl33$hypMarch','')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30"/>
  <sheetViews>
    <sheetView view="pageBreakPreview" zoomScale="90" zoomScaleSheetLayoutView="90" workbookViewId="0">
      <selection activeCell="L29" sqref="L29"/>
    </sheetView>
  </sheetViews>
  <sheetFormatPr defaultRowHeight="12.75"/>
  <cols>
    <col min="15" max="15" width="12.42578125" customWidth="1"/>
  </cols>
  <sheetData>
    <row r="130" spans="1:1">
      <c r="A130" t="s">
        <v>821</v>
      </c>
    </row>
  </sheetData>
  <printOptions horizontalCentered="1"/>
  <pageMargins left="0.70866141732283472" right="0.70866141732283472" top="0.23622047244094491" bottom="0" header="0.31496062992125984" footer="0.31496062992125984"/>
  <pageSetup paperSize="9" scale="9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7"/>
  <sheetViews>
    <sheetView view="pageBreakPreview" topLeftCell="A4" zoomScale="80" zoomScaleSheetLayoutView="80" workbookViewId="0">
      <selection activeCell="G44" sqref="G44"/>
    </sheetView>
  </sheetViews>
  <sheetFormatPr defaultRowHeight="12.75"/>
  <cols>
    <col min="2" max="2" width="14" customWidth="1"/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>
      <c r="D1" s="851"/>
      <c r="E1" s="851"/>
      <c r="F1" s="851"/>
      <c r="G1" s="851"/>
      <c r="H1" s="851"/>
      <c r="I1" s="851"/>
      <c r="J1" s="851"/>
      <c r="M1" s="110" t="s">
        <v>256</v>
      </c>
    </row>
    <row r="2" spans="1:19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</row>
    <row r="3" spans="1:19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</row>
    <row r="4" spans="1:19" ht="11.25" customHeight="1"/>
    <row r="5" spans="1:19" ht="15.75">
      <c r="A5" s="849" t="s">
        <v>749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</row>
    <row r="7" spans="1:19">
      <c r="A7" s="850" t="s">
        <v>923</v>
      </c>
      <c r="B7" s="850"/>
      <c r="L7" s="923" t="s">
        <v>784</v>
      </c>
      <c r="M7" s="923"/>
      <c r="N7" s="923"/>
      <c r="O7" s="120"/>
    </row>
    <row r="8" spans="1:19" ht="15.75" customHeight="1">
      <c r="A8" s="924" t="s">
        <v>2</v>
      </c>
      <c r="B8" s="924" t="s">
        <v>3</v>
      </c>
      <c r="C8" s="827" t="s">
        <v>4</v>
      </c>
      <c r="D8" s="827"/>
      <c r="E8" s="827"/>
      <c r="F8" s="825"/>
      <c r="G8" s="825"/>
      <c r="H8" s="827" t="s">
        <v>107</v>
      </c>
      <c r="I8" s="827"/>
      <c r="J8" s="827"/>
      <c r="K8" s="827"/>
      <c r="L8" s="827"/>
      <c r="M8" s="924" t="s">
        <v>137</v>
      </c>
      <c r="N8" s="844" t="s">
        <v>138</v>
      </c>
    </row>
    <row r="9" spans="1:19" ht="51">
      <c r="A9" s="925"/>
      <c r="B9" s="925"/>
      <c r="C9" s="5" t="s">
        <v>5</v>
      </c>
      <c r="D9" s="5" t="s">
        <v>6</v>
      </c>
      <c r="E9" s="5" t="s">
        <v>361</v>
      </c>
      <c r="F9" s="5" t="s">
        <v>105</v>
      </c>
      <c r="G9" s="5" t="s">
        <v>120</v>
      </c>
      <c r="H9" s="5" t="s">
        <v>5</v>
      </c>
      <c r="I9" s="5" t="s">
        <v>6</v>
      </c>
      <c r="J9" s="5" t="s">
        <v>361</v>
      </c>
      <c r="K9" s="7" t="s">
        <v>105</v>
      </c>
      <c r="L9" s="7" t="s">
        <v>121</v>
      </c>
      <c r="M9" s="925"/>
      <c r="N9" s="844"/>
      <c r="R9" s="9"/>
      <c r="S9" s="12"/>
    </row>
    <row r="10" spans="1:19" s="14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19">
        <v>12</v>
      </c>
      <c r="M10" s="119">
        <v>13</v>
      </c>
      <c r="N10" s="3">
        <v>14</v>
      </c>
    </row>
    <row r="11" spans="1:19" ht="15">
      <c r="A11" s="392">
        <v>1</v>
      </c>
      <c r="B11" s="397" t="s">
        <v>889</v>
      </c>
      <c r="C11" s="392">
        <v>8</v>
      </c>
      <c r="D11" s="392">
        <v>0</v>
      </c>
      <c r="E11" s="392">
        <v>0</v>
      </c>
      <c r="F11" s="392">
        <v>0</v>
      </c>
      <c r="G11" s="392">
        <v>8</v>
      </c>
      <c r="H11" s="392">
        <v>8</v>
      </c>
      <c r="I11" s="392">
        <v>0</v>
      </c>
      <c r="J11" s="392">
        <v>0</v>
      </c>
      <c r="K11" s="392">
        <v>0</v>
      </c>
      <c r="L11" s="392">
        <v>8</v>
      </c>
      <c r="M11" s="392">
        <f>G11-L11</f>
        <v>0</v>
      </c>
      <c r="N11" s="392"/>
    </row>
    <row r="12" spans="1:19" ht="15">
      <c r="A12" s="392">
        <v>2</v>
      </c>
      <c r="B12" s="397" t="s">
        <v>890</v>
      </c>
      <c r="C12" s="392">
        <v>20</v>
      </c>
      <c r="D12" s="392">
        <v>0</v>
      </c>
      <c r="E12" s="392">
        <v>0</v>
      </c>
      <c r="F12" s="392">
        <v>0</v>
      </c>
      <c r="G12" s="392">
        <v>20</v>
      </c>
      <c r="H12" s="392">
        <v>20</v>
      </c>
      <c r="I12" s="392">
        <v>0</v>
      </c>
      <c r="J12" s="392">
        <v>0</v>
      </c>
      <c r="K12" s="392">
        <v>0</v>
      </c>
      <c r="L12" s="392">
        <v>20</v>
      </c>
      <c r="M12" s="392">
        <f t="shared" ref="M12:M44" si="0">G12-L12</f>
        <v>0</v>
      </c>
      <c r="N12" s="392"/>
    </row>
    <row r="13" spans="1:19" ht="15">
      <c r="A13" s="392">
        <v>3</v>
      </c>
      <c r="B13" s="397" t="s">
        <v>891</v>
      </c>
      <c r="C13" s="392">
        <v>6</v>
      </c>
      <c r="D13" s="392">
        <v>0</v>
      </c>
      <c r="E13" s="392">
        <v>0</v>
      </c>
      <c r="F13" s="392">
        <v>0</v>
      </c>
      <c r="G13" s="392">
        <v>6</v>
      </c>
      <c r="H13" s="392">
        <v>6</v>
      </c>
      <c r="I13" s="392">
        <v>0</v>
      </c>
      <c r="J13" s="392">
        <v>0</v>
      </c>
      <c r="K13" s="392">
        <v>0</v>
      </c>
      <c r="L13" s="392">
        <v>6</v>
      </c>
      <c r="M13" s="392">
        <f t="shared" si="0"/>
        <v>0</v>
      </c>
      <c r="N13" s="392"/>
    </row>
    <row r="14" spans="1:19" ht="15">
      <c r="A14" s="392">
        <v>4</v>
      </c>
      <c r="B14" s="397" t="s">
        <v>892</v>
      </c>
      <c r="C14" s="392">
        <v>53</v>
      </c>
      <c r="D14" s="392">
        <v>0</v>
      </c>
      <c r="E14" s="392">
        <v>0</v>
      </c>
      <c r="F14" s="392">
        <v>0</v>
      </c>
      <c r="G14" s="392">
        <v>53</v>
      </c>
      <c r="H14" s="392">
        <v>53</v>
      </c>
      <c r="I14" s="392">
        <v>0</v>
      </c>
      <c r="J14" s="392">
        <v>0</v>
      </c>
      <c r="K14" s="392">
        <v>0</v>
      </c>
      <c r="L14" s="392">
        <v>53</v>
      </c>
      <c r="M14" s="392">
        <f t="shared" si="0"/>
        <v>0</v>
      </c>
      <c r="N14" s="392"/>
    </row>
    <row r="15" spans="1:19" ht="15">
      <c r="A15" s="392">
        <v>5</v>
      </c>
      <c r="B15" s="397" t="s">
        <v>893</v>
      </c>
      <c r="C15" s="392">
        <v>7</v>
      </c>
      <c r="D15" s="392">
        <v>0</v>
      </c>
      <c r="E15" s="392">
        <v>0</v>
      </c>
      <c r="F15" s="392">
        <v>0</v>
      </c>
      <c r="G15" s="392">
        <v>7</v>
      </c>
      <c r="H15" s="392">
        <v>7</v>
      </c>
      <c r="I15" s="392">
        <v>0</v>
      </c>
      <c r="J15" s="392">
        <v>0</v>
      </c>
      <c r="K15" s="392">
        <v>0</v>
      </c>
      <c r="L15" s="392">
        <v>7</v>
      </c>
      <c r="M15" s="392">
        <f t="shared" si="0"/>
        <v>0</v>
      </c>
      <c r="N15" s="392"/>
    </row>
    <row r="16" spans="1:19" ht="15">
      <c r="A16" s="392">
        <v>6</v>
      </c>
      <c r="B16" s="397" t="s">
        <v>894</v>
      </c>
      <c r="C16" s="392">
        <v>83</v>
      </c>
      <c r="D16" s="392">
        <v>0</v>
      </c>
      <c r="E16" s="392">
        <v>0</v>
      </c>
      <c r="F16" s="392">
        <v>0</v>
      </c>
      <c r="G16" s="392">
        <v>83</v>
      </c>
      <c r="H16" s="392">
        <v>83</v>
      </c>
      <c r="I16" s="392">
        <v>0</v>
      </c>
      <c r="J16" s="392">
        <v>0</v>
      </c>
      <c r="K16" s="392">
        <v>0</v>
      </c>
      <c r="L16" s="392">
        <v>83</v>
      </c>
      <c r="M16" s="392">
        <f t="shared" si="0"/>
        <v>0</v>
      </c>
      <c r="N16" s="392"/>
    </row>
    <row r="17" spans="1:14" ht="15">
      <c r="A17" s="392">
        <v>7</v>
      </c>
      <c r="B17" s="397" t="s">
        <v>895</v>
      </c>
      <c r="C17" s="392">
        <v>9</v>
      </c>
      <c r="D17" s="392">
        <v>0</v>
      </c>
      <c r="E17" s="392">
        <v>0</v>
      </c>
      <c r="F17" s="392">
        <v>0</v>
      </c>
      <c r="G17" s="392">
        <v>9</v>
      </c>
      <c r="H17" s="392">
        <v>9</v>
      </c>
      <c r="I17" s="392">
        <v>0</v>
      </c>
      <c r="J17" s="392">
        <v>0</v>
      </c>
      <c r="K17" s="392">
        <v>0</v>
      </c>
      <c r="L17" s="392">
        <v>9</v>
      </c>
      <c r="M17" s="392">
        <f t="shared" si="0"/>
        <v>0</v>
      </c>
      <c r="N17" s="392"/>
    </row>
    <row r="18" spans="1:14" ht="15">
      <c r="A18" s="392">
        <v>8</v>
      </c>
      <c r="B18" s="397" t="s">
        <v>896</v>
      </c>
      <c r="C18" s="392">
        <v>66</v>
      </c>
      <c r="D18" s="392">
        <v>0</v>
      </c>
      <c r="E18" s="392">
        <v>0</v>
      </c>
      <c r="F18" s="392">
        <v>0</v>
      </c>
      <c r="G18" s="392">
        <v>66</v>
      </c>
      <c r="H18" s="392">
        <v>66</v>
      </c>
      <c r="I18" s="392">
        <v>0</v>
      </c>
      <c r="J18" s="392">
        <v>0</v>
      </c>
      <c r="K18" s="392">
        <v>0</v>
      </c>
      <c r="L18" s="392">
        <v>66</v>
      </c>
      <c r="M18" s="392">
        <f t="shared" si="0"/>
        <v>0</v>
      </c>
      <c r="N18" s="392"/>
    </row>
    <row r="19" spans="1:14" ht="15">
      <c r="A19" s="392">
        <v>9</v>
      </c>
      <c r="B19" s="397" t="s">
        <v>897</v>
      </c>
      <c r="C19" s="392">
        <v>4</v>
      </c>
      <c r="D19" s="392">
        <v>0</v>
      </c>
      <c r="E19" s="392">
        <v>0</v>
      </c>
      <c r="F19" s="392">
        <v>0</v>
      </c>
      <c r="G19" s="392">
        <v>4</v>
      </c>
      <c r="H19" s="392">
        <v>4</v>
      </c>
      <c r="I19" s="392">
        <v>0</v>
      </c>
      <c r="J19" s="392">
        <v>0</v>
      </c>
      <c r="K19" s="392">
        <v>0</v>
      </c>
      <c r="L19" s="392">
        <v>4</v>
      </c>
      <c r="M19" s="392">
        <f t="shared" si="0"/>
        <v>0</v>
      </c>
      <c r="N19" s="392"/>
    </row>
    <row r="20" spans="1:14" ht="15">
      <c r="A20" s="392">
        <v>10</v>
      </c>
      <c r="B20" s="397" t="s">
        <v>898</v>
      </c>
      <c r="C20" s="392">
        <v>16</v>
      </c>
      <c r="D20" s="392">
        <v>0</v>
      </c>
      <c r="E20" s="392">
        <v>0</v>
      </c>
      <c r="F20" s="392">
        <v>0</v>
      </c>
      <c r="G20" s="392">
        <v>16</v>
      </c>
      <c r="H20" s="392">
        <v>16</v>
      </c>
      <c r="I20" s="392">
        <v>0</v>
      </c>
      <c r="J20" s="392">
        <v>0</v>
      </c>
      <c r="K20" s="392">
        <v>0</v>
      </c>
      <c r="L20" s="392">
        <v>16</v>
      </c>
      <c r="M20" s="392">
        <f t="shared" si="0"/>
        <v>0</v>
      </c>
      <c r="N20" s="392"/>
    </row>
    <row r="21" spans="1:14" ht="15">
      <c r="A21" s="392">
        <v>11</v>
      </c>
      <c r="B21" s="397" t="s">
        <v>899</v>
      </c>
      <c r="C21" s="392">
        <v>15</v>
      </c>
      <c r="D21" s="392">
        <v>0</v>
      </c>
      <c r="E21" s="392">
        <v>0</v>
      </c>
      <c r="F21" s="392">
        <v>0</v>
      </c>
      <c r="G21" s="392">
        <v>15</v>
      </c>
      <c r="H21" s="392">
        <v>15</v>
      </c>
      <c r="I21" s="392">
        <v>0</v>
      </c>
      <c r="J21" s="392">
        <v>0</v>
      </c>
      <c r="K21" s="392">
        <v>0</v>
      </c>
      <c r="L21" s="392">
        <v>15</v>
      </c>
      <c r="M21" s="392">
        <f t="shared" si="0"/>
        <v>0</v>
      </c>
      <c r="N21" s="392"/>
    </row>
    <row r="22" spans="1:14" ht="15">
      <c r="A22" s="392">
        <v>12</v>
      </c>
      <c r="B22" s="397" t="s">
        <v>900</v>
      </c>
      <c r="C22" s="392">
        <v>11</v>
      </c>
      <c r="D22" s="392">
        <v>0</v>
      </c>
      <c r="E22" s="392">
        <v>0</v>
      </c>
      <c r="F22" s="392">
        <v>0</v>
      </c>
      <c r="G22" s="408">
        <v>11</v>
      </c>
      <c r="H22" s="392">
        <v>11</v>
      </c>
      <c r="I22" s="392">
        <v>0</v>
      </c>
      <c r="J22" s="392">
        <v>0</v>
      </c>
      <c r="K22" s="392">
        <v>0</v>
      </c>
      <c r="L22" s="408">
        <v>11</v>
      </c>
      <c r="M22" s="392">
        <f t="shared" si="0"/>
        <v>0</v>
      </c>
      <c r="N22" s="392"/>
    </row>
    <row r="23" spans="1:14" ht="15">
      <c r="A23" s="392">
        <v>13</v>
      </c>
      <c r="B23" s="397" t="s">
        <v>901</v>
      </c>
      <c r="C23" s="392">
        <v>7</v>
      </c>
      <c r="D23" s="392">
        <v>0</v>
      </c>
      <c r="E23" s="392">
        <v>0</v>
      </c>
      <c r="F23" s="392">
        <v>0</v>
      </c>
      <c r="G23" s="408">
        <v>7</v>
      </c>
      <c r="H23" s="392">
        <v>7</v>
      </c>
      <c r="I23" s="392">
        <v>0</v>
      </c>
      <c r="J23" s="392">
        <v>0</v>
      </c>
      <c r="K23" s="392">
        <v>0</v>
      </c>
      <c r="L23" s="408">
        <v>7</v>
      </c>
      <c r="M23" s="392">
        <f t="shared" si="0"/>
        <v>0</v>
      </c>
      <c r="N23" s="392"/>
    </row>
    <row r="24" spans="1:14" ht="15">
      <c r="A24" s="392">
        <v>14</v>
      </c>
      <c r="B24" s="397" t="s">
        <v>902</v>
      </c>
      <c r="C24" s="392">
        <v>40</v>
      </c>
      <c r="D24" s="392">
        <v>0</v>
      </c>
      <c r="E24" s="392">
        <v>0</v>
      </c>
      <c r="F24" s="392">
        <v>0</v>
      </c>
      <c r="G24" s="408">
        <v>40</v>
      </c>
      <c r="H24" s="392">
        <v>40</v>
      </c>
      <c r="I24" s="392">
        <v>0</v>
      </c>
      <c r="J24" s="392">
        <v>0</v>
      </c>
      <c r="K24" s="392">
        <v>0</v>
      </c>
      <c r="L24" s="408">
        <v>40</v>
      </c>
      <c r="M24" s="392">
        <f t="shared" si="0"/>
        <v>0</v>
      </c>
      <c r="N24" s="392"/>
    </row>
    <row r="25" spans="1:14" ht="15">
      <c r="A25" s="392">
        <v>15</v>
      </c>
      <c r="B25" s="397" t="s">
        <v>903</v>
      </c>
      <c r="C25" s="392">
        <v>8</v>
      </c>
      <c r="D25" s="392">
        <v>0</v>
      </c>
      <c r="E25" s="392">
        <v>0</v>
      </c>
      <c r="F25" s="392">
        <v>0</v>
      </c>
      <c r="G25" s="408">
        <v>8</v>
      </c>
      <c r="H25" s="392">
        <v>8</v>
      </c>
      <c r="I25" s="392">
        <v>0</v>
      </c>
      <c r="J25" s="392">
        <v>0</v>
      </c>
      <c r="K25" s="392">
        <v>0</v>
      </c>
      <c r="L25" s="408">
        <v>8</v>
      </c>
      <c r="M25" s="392">
        <f t="shared" si="0"/>
        <v>0</v>
      </c>
      <c r="N25" s="392"/>
    </row>
    <row r="26" spans="1:14" ht="15">
      <c r="A26" s="392">
        <v>16</v>
      </c>
      <c r="B26" s="397" t="s">
        <v>904</v>
      </c>
      <c r="C26" s="392">
        <v>1</v>
      </c>
      <c r="D26" s="392">
        <v>0</v>
      </c>
      <c r="E26" s="392">
        <v>0</v>
      </c>
      <c r="F26" s="392">
        <v>0</v>
      </c>
      <c r="G26" s="408">
        <v>1</v>
      </c>
      <c r="H26" s="392">
        <v>1</v>
      </c>
      <c r="I26" s="392">
        <v>0</v>
      </c>
      <c r="J26" s="392">
        <v>0</v>
      </c>
      <c r="K26" s="392">
        <v>0</v>
      </c>
      <c r="L26" s="408">
        <v>1</v>
      </c>
      <c r="M26" s="392">
        <f t="shared" si="0"/>
        <v>0</v>
      </c>
      <c r="N26" s="392"/>
    </row>
    <row r="27" spans="1:14" ht="15">
      <c r="A27" s="392">
        <v>17</v>
      </c>
      <c r="B27" s="397" t="s">
        <v>905</v>
      </c>
      <c r="C27" s="392">
        <v>201</v>
      </c>
      <c r="D27" s="392">
        <v>0</v>
      </c>
      <c r="E27" s="392">
        <v>0</v>
      </c>
      <c r="F27" s="392">
        <v>5</v>
      </c>
      <c r="G27" s="408">
        <v>206</v>
      </c>
      <c r="H27" s="392">
        <v>201</v>
      </c>
      <c r="I27" s="392">
        <v>0</v>
      </c>
      <c r="J27" s="392">
        <v>0</v>
      </c>
      <c r="K27" s="392">
        <v>5</v>
      </c>
      <c r="L27" s="408">
        <v>206</v>
      </c>
      <c r="M27" s="392">
        <f t="shared" si="0"/>
        <v>0</v>
      </c>
      <c r="N27" s="392"/>
    </row>
    <row r="28" spans="1:14" ht="15">
      <c r="A28" s="392">
        <v>18</v>
      </c>
      <c r="B28" s="397" t="s">
        <v>906</v>
      </c>
      <c r="C28" s="392">
        <v>3</v>
      </c>
      <c r="D28" s="392">
        <v>0</v>
      </c>
      <c r="E28" s="392">
        <v>0</v>
      </c>
      <c r="F28" s="392">
        <v>0</v>
      </c>
      <c r="G28" s="408">
        <v>3</v>
      </c>
      <c r="H28" s="392">
        <v>3</v>
      </c>
      <c r="I28" s="392">
        <v>0</v>
      </c>
      <c r="J28" s="392">
        <v>0</v>
      </c>
      <c r="K28" s="392">
        <v>0</v>
      </c>
      <c r="L28" s="408">
        <v>3</v>
      </c>
      <c r="M28" s="392">
        <f t="shared" si="0"/>
        <v>0</v>
      </c>
      <c r="N28" s="392"/>
    </row>
    <row r="29" spans="1:14" ht="15">
      <c r="A29" s="392">
        <v>19</v>
      </c>
      <c r="B29" s="397" t="s">
        <v>907</v>
      </c>
      <c r="C29" s="392">
        <v>2</v>
      </c>
      <c r="D29" s="392">
        <v>0</v>
      </c>
      <c r="E29" s="392">
        <v>0</v>
      </c>
      <c r="F29" s="392">
        <v>0</v>
      </c>
      <c r="G29" s="408">
        <v>2</v>
      </c>
      <c r="H29" s="392">
        <v>2</v>
      </c>
      <c r="I29" s="392">
        <v>0</v>
      </c>
      <c r="J29" s="392">
        <v>0</v>
      </c>
      <c r="K29" s="392">
        <v>0</v>
      </c>
      <c r="L29" s="408">
        <v>2</v>
      </c>
      <c r="M29" s="392">
        <f t="shared" si="0"/>
        <v>0</v>
      </c>
      <c r="N29" s="392"/>
    </row>
    <row r="30" spans="1:14" ht="15">
      <c r="A30" s="392">
        <v>20</v>
      </c>
      <c r="B30" s="397" t="s">
        <v>908</v>
      </c>
      <c r="C30" s="392">
        <v>7</v>
      </c>
      <c r="D30" s="392">
        <v>0</v>
      </c>
      <c r="E30" s="392">
        <v>0</v>
      </c>
      <c r="F30" s="392">
        <v>3</v>
      </c>
      <c r="G30" s="408">
        <v>10</v>
      </c>
      <c r="H30" s="392">
        <v>7</v>
      </c>
      <c r="I30" s="392">
        <v>0</v>
      </c>
      <c r="J30" s="392">
        <v>0</v>
      </c>
      <c r="K30" s="392">
        <v>3</v>
      </c>
      <c r="L30" s="408">
        <v>10</v>
      </c>
      <c r="M30" s="392">
        <f t="shared" si="0"/>
        <v>0</v>
      </c>
      <c r="N30" s="392"/>
    </row>
    <row r="31" spans="1:14" ht="15">
      <c r="A31" s="392">
        <v>21</v>
      </c>
      <c r="B31" s="397" t="s">
        <v>909</v>
      </c>
      <c r="C31" s="392">
        <v>12</v>
      </c>
      <c r="D31" s="392">
        <v>0</v>
      </c>
      <c r="E31" s="392">
        <v>0</v>
      </c>
      <c r="F31" s="392">
        <v>0</v>
      </c>
      <c r="G31" s="408">
        <v>12</v>
      </c>
      <c r="H31" s="392">
        <v>12</v>
      </c>
      <c r="I31" s="392">
        <v>0</v>
      </c>
      <c r="J31" s="392">
        <v>0</v>
      </c>
      <c r="K31" s="392">
        <v>0</v>
      </c>
      <c r="L31" s="408">
        <v>12</v>
      </c>
      <c r="M31" s="392">
        <f t="shared" si="0"/>
        <v>0</v>
      </c>
      <c r="N31" s="392"/>
    </row>
    <row r="32" spans="1:14" ht="15">
      <c r="A32" s="392">
        <v>22</v>
      </c>
      <c r="B32" s="397" t="s">
        <v>910</v>
      </c>
      <c r="C32" s="392">
        <v>0</v>
      </c>
      <c r="D32" s="392">
        <v>0</v>
      </c>
      <c r="E32" s="392">
        <v>0</v>
      </c>
      <c r="F32" s="392">
        <v>0</v>
      </c>
      <c r="G32" s="408">
        <v>0</v>
      </c>
      <c r="H32" s="392">
        <v>0</v>
      </c>
      <c r="I32" s="392">
        <v>0</v>
      </c>
      <c r="J32" s="392">
        <v>0</v>
      </c>
      <c r="K32" s="392">
        <v>0</v>
      </c>
      <c r="L32" s="408">
        <v>0</v>
      </c>
      <c r="M32" s="392">
        <f t="shared" si="0"/>
        <v>0</v>
      </c>
      <c r="N32" s="392"/>
    </row>
    <row r="33" spans="1:14" ht="15">
      <c r="A33" s="392">
        <v>23</v>
      </c>
      <c r="B33" s="397" t="s">
        <v>911</v>
      </c>
      <c r="C33" s="392">
        <v>10</v>
      </c>
      <c r="D33" s="392">
        <v>0</v>
      </c>
      <c r="E33" s="392">
        <v>0</v>
      </c>
      <c r="F33" s="392">
        <v>0</v>
      </c>
      <c r="G33" s="408">
        <v>10</v>
      </c>
      <c r="H33" s="392">
        <v>10</v>
      </c>
      <c r="I33" s="392">
        <v>0</v>
      </c>
      <c r="J33" s="392">
        <v>0</v>
      </c>
      <c r="K33" s="392">
        <v>0</v>
      </c>
      <c r="L33" s="408">
        <v>10</v>
      </c>
      <c r="M33" s="392">
        <f t="shared" si="0"/>
        <v>0</v>
      </c>
      <c r="N33" s="392"/>
    </row>
    <row r="34" spans="1:14" ht="15">
      <c r="A34" s="392">
        <v>24</v>
      </c>
      <c r="B34" s="397" t="s">
        <v>912</v>
      </c>
      <c r="C34" s="392">
        <v>1</v>
      </c>
      <c r="D34" s="392">
        <v>0</v>
      </c>
      <c r="E34" s="392">
        <v>0</v>
      </c>
      <c r="F34" s="392">
        <v>1</v>
      </c>
      <c r="G34" s="408">
        <v>2</v>
      </c>
      <c r="H34" s="392">
        <v>1</v>
      </c>
      <c r="I34" s="392">
        <v>0</v>
      </c>
      <c r="J34" s="392">
        <v>0</v>
      </c>
      <c r="K34" s="392">
        <v>1</v>
      </c>
      <c r="L34" s="408">
        <v>2</v>
      </c>
      <c r="M34" s="392">
        <f t="shared" si="0"/>
        <v>0</v>
      </c>
      <c r="N34" s="392"/>
    </row>
    <row r="35" spans="1:14" ht="15">
      <c r="A35" s="392">
        <v>25</v>
      </c>
      <c r="B35" s="397" t="s">
        <v>913</v>
      </c>
      <c r="C35" s="392">
        <v>24</v>
      </c>
      <c r="D35" s="392">
        <v>0</v>
      </c>
      <c r="E35" s="392">
        <v>0</v>
      </c>
      <c r="F35" s="392">
        <v>4</v>
      </c>
      <c r="G35" s="408">
        <v>28</v>
      </c>
      <c r="H35" s="392">
        <v>24</v>
      </c>
      <c r="I35" s="392">
        <v>0</v>
      </c>
      <c r="J35" s="392">
        <v>0</v>
      </c>
      <c r="K35" s="392">
        <v>4</v>
      </c>
      <c r="L35" s="408">
        <v>28</v>
      </c>
      <c r="M35" s="392">
        <f t="shared" si="0"/>
        <v>0</v>
      </c>
      <c r="N35" s="392"/>
    </row>
    <row r="36" spans="1:14" ht="15">
      <c r="A36" s="392">
        <v>26</v>
      </c>
      <c r="B36" s="397" t="s">
        <v>914</v>
      </c>
      <c r="C36" s="392">
        <v>6</v>
      </c>
      <c r="D36" s="392">
        <v>0</v>
      </c>
      <c r="E36" s="392">
        <v>0</v>
      </c>
      <c r="F36" s="392">
        <v>0</v>
      </c>
      <c r="G36" s="408">
        <v>6</v>
      </c>
      <c r="H36" s="392">
        <v>6</v>
      </c>
      <c r="I36" s="392">
        <v>0</v>
      </c>
      <c r="J36" s="392">
        <v>0</v>
      </c>
      <c r="K36" s="392">
        <v>0</v>
      </c>
      <c r="L36" s="408">
        <v>6</v>
      </c>
      <c r="M36" s="392">
        <f t="shared" si="0"/>
        <v>0</v>
      </c>
      <c r="N36" s="392"/>
    </row>
    <row r="37" spans="1:14" ht="15">
      <c r="A37" s="392">
        <v>27</v>
      </c>
      <c r="B37" s="397" t="s">
        <v>915</v>
      </c>
      <c r="C37" s="392">
        <v>0</v>
      </c>
      <c r="D37" s="392">
        <v>0</v>
      </c>
      <c r="E37" s="392">
        <v>0</v>
      </c>
      <c r="F37" s="392">
        <v>0</v>
      </c>
      <c r="G37" s="408">
        <v>0</v>
      </c>
      <c r="H37" s="392">
        <v>0</v>
      </c>
      <c r="I37" s="392">
        <v>0</v>
      </c>
      <c r="J37" s="392">
        <v>0</v>
      </c>
      <c r="K37" s="392">
        <v>0</v>
      </c>
      <c r="L37" s="408">
        <v>0</v>
      </c>
      <c r="M37" s="392">
        <f t="shared" si="0"/>
        <v>0</v>
      </c>
      <c r="N37" s="392"/>
    </row>
    <row r="38" spans="1:14" ht="15">
      <c r="A38" s="392">
        <v>28</v>
      </c>
      <c r="B38" s="397" t="s">
        <v>916</v>
      </c>
      <c r="C38" s="392">
        <v>7</v>
      </c>
      <c r="D38" s="392">
        <v>0</v>
      </c>
      <c r="E38" s="392">
        <v>0</v>
      </c>
      <c r="F38" s="392">
        <v>0</v>
      </c>
      <c r="G38" s="408">
        <v>7</v>
      </c>
      <c r="H38" s="392">
        <v>7</v>
      </c>
      <c r="I38" s="392">
        <v>0</v>
      </c>
      <c r="J38" s="392">
        <v>0</v>
      </c>
      <c r="K38" s="392">
        <v>0</v>
      </c>
      <c r="L38" s="408">
        <v>7</v>
      </c>
      <c r="M38" s="392">
        <f t="shared" si="0"/>
        <v>0</v>
      </c>
      <c r="N38" s="392"/>
    </row>
    <row r="39" spans="1:14" ht="15">
      <c r="A39" s="392">
        <v>29</v>
      </c>
      <c r="B39" s="397" t="s">
        <v>917</v>
      </c>
      <c r="C39" s="392">
        <v>75</v>
      </c>
      <c r="D39" s="392">
        <v>0</v>
      </c>
      <c r="E39" s="392">
        <v>0</v>
      </c>
      <c r="F39" s="392">
        <v>0</v>
      </c>
      <c r="G39" s="408">
        <v>75</v>
      </c>
      <c r="H39" s="392">
        <v>75</v>
      </c>
      <c r="I39" s="392">
        <v>0</v>
      </c>
      <c r="J39" s="392">
        <v>0</v>
      </c>
      <c r="K39" s="392">
        <v>0</v>
      </c>
      <c r="L39" s="408">
        <v>75</v>
      </c>
      <c r="M39" s="392">
        <f t="shared" si="0"/>
        <v>0</v>
      </c>
      <c r="N39" s="392"/>
    </row>
    <row r="40" spans="1:14" ht="15">
      <c r="A40" s="392">
        <v>30</v>
      </c>
      <c r="B40" s="397" t="s">
        <v>918</v>
      </c>
      <c r="C40" s="392">
        <v>15</v>
      </c>
      <c r="D40" s="392">
        <v>0</v>
      </c>
      <c r="E40" s="392">
        <v>0</v>
      </c>
      <c r="F40" s="392">
        <v>0</v>
      </c>
      <c r="G40" s="408">
        <v>15</v>
      </c>
      <c r="H40" s="392">
        <v>15</v>
      </c>
      <c r="I40" s="392">
        <v>0</v>
      </c>
      <c r="J40" s="392">
        <v>0</v>
      </c>
      <c r="K40" s="392">
        <v>0</v>
      </c>
      <c r="L40" s="408">
        <v>15</v>
      </c>
      <c r="M40" s="392">
        <f t="shared" si="0"/>
        <v>0</v>
      </c>
      <c r="N40" s="392"/>
    </row>
    <row r="41" spans="1:14" ht="15">
      <c r="A41" s="392">
        <v>31</v>
      </c>
      <c r="B41" s="397" t="s">
        <v>919</v>
      </c>
      <c r="C41" s="392">
        <v>1</v>
      </c>
      <c r="D41" s="392">
        <v>0</v>
      </c>
      <c r="E41" s="392">
        <v>0</v>
      </c>
      <c r="F41" s="392">
        <v>0</v>
      </c>
      <c r="G41" s="408">
        <v>1</v>
      </c>
      <c r="H41" s="392">
        <v>1</v>
      </c>
      <c r="I41" s="392">
        <v>0</v>
      </c>
      <c r="J41" s="392">
        <v>0</v>
      </c>
      <c r="K41" s="392">
        <v>0</v>
      </c>
      <c r="L41" s="408">
        <v>1</v>
      </c>
      <c r="M41" s="392">
        <f t="shared" si="0"/>
        <v>0</v>
      </c>
      <c r="N41" s="392"/>
    </row>
    <row r="42" spans="1:14" ht="15">
      <c r="A42" s="392">
        <v>32</v>
      </c>
      <c r="B42" s="397" t="s">
        <v>920</v>
      </c>
      <c r="C42" s="392">
        <v>5</v>
      </c>
      <c r="D42" s="392">
        <v>0</v>
      </c>
      <c r="E42" s="392">
        <v>0</v>
      </c>
      <c r="F42" s="392">
        <v>0</v>
      </c>
      <c r="G42" s="408">
        <v>5</v>
      </c>
      <c r="H42" s="392">
        <v>5</v>
      </c>
      <c r="I42" s="392">
        <v>0</v>
      </c>
      <c r="J42" s="392">
        <v>0</v>
      </c>
      <c r="K42" s="392">
        <v>0</v>
      </c>
      <c r="L42" s="408">
        <v>5</v>
      </c>
      <c r="M42" s="392">
        <f t="shared" si="0"/>
        <v>0</v>
      </c>
      <c r="N42" s="392"/>
    </row>
    <row r="43" spans="1:14" ht="15">
      <c r="A43" s="392">
        <v>33</v>
      </c>
      <c r="B43" s="397" t="s">
        <v>921</v>
      </c>
      <c r="C43" s="392">
        <v>6</v>
      </c>
      <c r="D43" s="392">
        <v>0</v>
      </c>
      <c r="E43" s="392">
        <v>0</v>
      </c>
      <c r="F43" s="392">
        <v>0</v>
      </c>
      <c r="G43" s="408">
        <v>6</v>
      </c>
      <c r="H43" s="392">
        <v>6</v>
      </c>
      <c r="I43" s="392">
        <v>0</v>
      </c>
      <c r="J43" s="392">
        <v>0</v>
      </c>
      <c r="K43" s="392">
        <v>0</v>
      </c>
      <c r="L43" s="408">
        <v>6</v>
      </c>
      <c r="M43" s="392">
        <f t="shared" si="0"/>
        <v>0</v>
      </c>
      <c r="N43" s="392"/>
    </row>
    <row r="44" spans="1:14" ht="15.75">
      <c r="A44" s="407"/>
      <c r="B44" s="407" t="s">
        <v>19</v>
      </c>
      <c r="C44" s="392">
        <f>SUM(C11:C43)</f>
        <v>729</v>
      </c>
      <c r="D44" s="392">
        <f t="shared" ref="D44:L44" si="1">SUM(D11:D43)</f>
        <v>0</v>
      </c>
      <c r="E44" s="392">
        <f t="shared" si="1"/>
        <v>0</v>
      </c>
      <c r="F44" s="392">
        <f t="shared" si="1"/>
        <v>13</v>
      </c>
      <c r="G44" s="392">
        <f t="shared" si="1"/>
        <v>742</v>
      </c>
      <c r="H44" s="392">
        <f t="shared" si="1"/>
        <v>729</v>
      </c>
      <c r="I44" s="392">
        <f t="shared" si="1"/>
        <v>0</v>
      </c>
      <c r="J44" s="392">
        <f t="shared" si="1"/>
        <v>0</v>
      </c>
      <c r="K44" s="392">
        <f t="shared" si="1"/>
        <v>13</v>
      </c>
      <c r="L44" s="392">
        <f t="shared" si="1"/>
        <v>742</v>
      </c>
      <c r="M44" s="392">
        <f t="shared" si="0"/>
        <v>0</v>
      </c>
      <c r="N44" s="392"/>
    </row>
    <row r="45" spans="1:14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>
      <c r="A46" s="10" t="s">
        <v>8</v>
      </c>
    </row>
    <row r="47" spans="1:14">
      <c r="A47" t="s">
        <v>9</v>
      </c>
    </row>
    <row r="48" spans="1:14">
      <c r="A48" t="s">
        <v>10</v>
      </c>
      <c r="K48" s="11" t="s">
        <v>11</v>
      </c>
      <c r="L48" s="11" t="s">
        <v>11</v>
      </c>
      <c r="M48" s="11"/>
      <c r="N48" s="11" t="s">
        <v>11</v>
      </c>
    </row>
    <row r="49" spans="1:14">
      <c r="A49" s="15" t="s">
        <v>433</v>
      </c>
      <c r="J49" s="11"/>
      <c r="K49" s="11"/>
      <c r="L49" s="11"/>
    </row>
    <row r="50" spans="1:14">
      <c r="C50" s="15" t="s">
        <v>434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4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>
      <c r="A53" s="13" t="s">
        <v>12</v>
      </c>
      <c r="B53" s="13"/>
      <c r="C53" s="13"/>
      <c r="D53" s="13"/>
      <c r="E53" s="13"/>
      <c r="F53" s="13"/>
      <c r="G53" s="13"/>
      <c r="H53" s="13"/>
      <c r="K53" s="14"/>
      <c r="L53" s="928" t="s">
        <v>13</v>
      </c>
      <c r="M53" s="928"/>
      <c r="N53" s="928"/>
    </row>
    <row r="54" spans="1:14" ht="15.75" customHeight="1">
      <c r="A54" s="928" t="s">
        <v>14</v>
      </c>
      <c r="B54" s="928"/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</row>
    <row r="55" spans="1:14" ht="15.75">
      <c r="A55" s="928" t="s">
        <v>15</v>
      </c>
      <c r="B55" s="928"/>
      <c r="C55" s="928"/>
      <c r="D55" s="928"/>
      <c r="E55" s="928"/>
      <c r="F55" s="928"/>
      <c r="G55" s="928"/>
      <c r="H55" s="928"/>
      <c r="I55" s="928"/>
      <c r="J55" s="928"/>
      <c r="K55" s="928"/>
      <c r="L55" s="928"/>
      <c r="M55" s="928"/>
      <c r="N55" s="928"/>
    </row>
    <row r="56" spans="1:14">
      <c r="K56" s="850" t="s">
        <v>87</v>
      </c>
      <c r="L56" s="850"/>
      <c r="M56" s="850"/>
      <c r="N56" s="850"/>
    </row>
    <row r="57" spans="1:14">
      <c r="A57" s="927"/>
      <c r="B57" s="927"/>
      <c r="C57" s="927"/>
      <c r="D57" s="927"/>
      <c r="E57" s="927"/>
      <c r="F57" s="927"/>
      <c r="G57" s="927"/>
      <c r="H57" s="927"/>
      <c r="I57" s="927"/>
      <c r="J57" s="927"/>
      <c r="K57" s="927"/>
      <c r="L57" s="927"/>
      <c r="M57" s="927"/>
      <c r="N57" s="927"/>
    </row>
  </sheetData>
  <mergeCells count="17">
    <mergeCell ref="A7:B7"/>
    <mergeCell ref="D1:J1"/>
    <mergeCell ref="A2:N2"/>
    <mergeCell ref="A3:N3"/>
    <mergeCell ref="A5:N5"/>
    <mergeCell ref="L7:N7"/>
    <mergeCell ref="A57:N57"/>
    <mergeCell ref="N8:N9"/>
    <mergeCell ref="L53:N53"/>
    <mergeCell ref="A54:N54"/>
    <mergeCell ref="A55:N55"/>
    <mergeCell ref="K56:N56"/>
    <mergeCell ref="A8:A9"/>
    <mergeCell ref="B8:B9"/>
    <mergeCell ref="C8:G8"/>
    <mergeCell ref="H8:L8"/>
    <mergeCell ref="M8:M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V55"/>
  <sheetViews>
    <sheetView view="pageBreakPreview" topLeftCell="A31" zoomScale="80" zoomScaleSheetLayoutView="80" workbookViewId="0">
      <selection activeCell="W46" sqref="W46"/>
    </sheetView>
  </sheetViews>
  <sheetFormatPr defaultRowHeight="12.75"/>
  <cols>
    <col min="1" max="1" width="7.140625" style="15" customWidth="1"/>
    <col min="2" max="2" width="19.140625" style="15" customWidth="1"/>
    <col min="3" max="3" width="12.42578125" style="15" customWidth="1"/>
    <col min="4" max="4" width="9.28515625" style="15" customWidth="1"/>
    <col min="5" max="5" width="11" style="15" customWidth="1"/>
    <col min="6" max="6" width="12.140625" style="15" customWidth="1"/>
    <col min="7" max="7" width="13.7109375" style="15" customWidth="1"/>
    <col min="8" max="8" width="14.5703125" style="15" customWidth="1"/>
    <col min="9" max="9" width="9.7109375" style="15" customWidth="1"/>
    <col min="10" max="10" width="9.5703125" style="15" customWidth="1"/>
    <col min="11" max="11" width="11.7109375" style="15" customWidth="1"/>
    <col min="12" max="12" width="14" style="15" customWidth="1"/>
    <col min="13" max="13" width="15.7109375" style="384" customWidth="1"/>
    <col min="14" max="14" width="5.7109375" style="384" customWidth="1"/>
    <col min="15" max="15" width="17" style="384" bestFit="1" customWidth="1"/>
    <col min="16" max="17" width="15.7109375" style="384" customWidth="1"/>
    <col min="18" max="21" width="15.7109375" style="652" customWidth="1"/>
    <col min="22" max="37" width="15.7109375" style="620" customWidth="1"/>
    <col min="38" max="38" width="14.140625" style="15" customWidth="1"/>
    <col min="39" max="39" width="24.5703125" style="460" customWidth="1"/>
    <col min="40" max="40" width="13.28515625" style="15" customWidth="1"/>
    <col min="41" max="41" width="17.85546875" style="509" customWidth="1"/>
    <col min="42" max="42" width="24.140625" style="460" customWidth="1"/>
    <col min="43" max="44" width="24.140625" style="509" customWidth="1"/>
    <col min="45" max="45" width="15.5703125" style="15" customWidth="1"/>
    <col min="46" max="46" width="19.7109375" style="460" customWidth="1"/>
    <col min="47" max="16384" width="9.140625" style="15"/>
  </cols>
  <sheetData>
    <row r="1" spans="1:47" customFormat="1" ht="12.75" customHeight="1">
      <c r="D1" s="15"/>
      <c r="E1" s="15"/>
      <c r="F1" s="15"/>
      <c r="G1" s="15"/>
      <c r="H1" s="15"/>
      <c r="I1" s="15"/>
      <c r="J1" s="15"/>
      <c r="K1" s="15"/>
      <c r="L1" s="15"/>
      <c r="M1" s="384"/>
      <c r="N1" s="384"/>
      <c r="O1" s="935" t="s">
        <v>63</v>
      </c>
      <c r="P1" s="935"/>
      <c r="Q1" s="935"/>
      <c r="R1" s="653"/>
      <c r="S1" s="653"/>
      <c r="T1" s="653"/>
      <c r="U1" s="653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</row>
    <row r="2" spans="1:47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383"/>
      <c r="N2" s="383"/>
      <c r="O2" s="383"/>
      <c r="P2" s="383"/>
      <c r="Q2" s="382"/>
      <c r="R2" s="648"/>
      <c r="S2" s="648"/>
      <c r="T2" s="648"/>
      <c r="U2" s="648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</row>
    <row r="3" spans="1:47" customFormat="1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378"/>
      <c r="N3" s="378"/>
      <c r="O3" s="378"/>
      <c r="P3" s="378"/>
      <c r="Q3" s="382"/>
      <c r="R3" s="648"/>
      <c r="S3" s="648"/>
      <c r="T3" s="648"/>
      <c r="U3" s="648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  <c r="AK3" s="616"/>
    </row>
    <row r="4" spans="1:47" customFormat="1" ht="11.25" customHeight="1">
      <c r="M4" s="382"/>
      <c r="N4" s="382"/>
      <c r="O4" s="382"/>
      <c r="P4" s="382"/>
      <c r="Q4" s="382"/>
      <c r="R4" s="648"/>
      <c r="S4" s="648"/>
      <c r="T4" s="648"/>
      <c r="U4" s="648"/>
      <c r="V4" s="616"/>
      <c r="W4" s="616"/>
      <c r="X4" s="616"/>
      <c r="Y4" s="616"/>
      <c r="Z4" s="616"/>
      <c r="AA4" s="616"/>
      <c r="AB4" s="616"/>
      <c r="AC4" s="616"/>
      <c r="AD4" s="616"/>
      <c r="AE4" s="616"/>
      <c r="AF4" s="616"/>
      <c r="AG4" s="616"/>
      <c r="AH4" s="616"/>
      <c r="AI4" s="616"/>
      <c r="AJ4" s="616"/>
      <c r="AK4" s="616"/>
    </row>
    <row r="5" spans="1:47" customFormat="1" ht="15.75" customHeight="1">
      <c r="A5" s="933" t="s">
        <v>750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384"/>
      <c r="Q5" s="382"/>
      <c r="R5" s="648"/>
      <c r="S5" s="648"/>
      <c r="T5" s="648"/>
      <c r="U5" s="648"/>
      <c r="V5" s="616"/>
      <c r="W5" s="616"/>
      <c r="X5" s="616"/>
      <c r="Y5" s="616"/>
      <c r="Z5" s="616"/>
      <c r="AA5" s="616"/>
      <c r="AB5" s="616"/>
      <c r="AC5" s="616"/>
      <c r="AD5" s="616"/>
      <c r="AE5" s="616"/>
      <c r="AF5" s="616"/>
      <c r="AG5" s="616"/>
      <c r="AH5" s="616"/>
      <c r="AI5" s="616"/>
      <c r="AJ5" s="616"/>
      <c r="AK5" s="616"/>
    </row>
    <row r="7" spans="1:47" ht="17.45" customHeight="1">
      <c r="A7" s="850" t="s">
        <v>923</v>
      </c>
      <c r="B7" s="850"/>
      <c r="N7" s="941" t="s">
        <v>782</v>
      </c>
      <c r="O7" s="941"/>
      <c r="P7" s="941"/>
      <c r="Q7" s="941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</row>
    <row r="8" spans="1:47" ht="24" customHeight="1">
      <c r="A8" s="844" t="s">
        <v>2</v>
      </c>
      <c r="B8" s="844" t="s">
        <v>3</v>
      </c>
      <c r="C8" s="865" t="s">
        <v>789</v>
      </c>
      <c r="D8" s="865"/>
      <c r="E8" s="865"/>
      <c r="F8" s="865"/>
      <c r="G8" s="865"/>
      <c r="H8" s="936" t="s">
        <v>639</v>
      </c>
      <c r="I8" s="865"/>
      <c r="J8" s="865"/>
      <c r="K8" s="937"/>
      <c r="L8" s="865"/>
      <c r="M8" s="938" t="s">
        <v>115</v>
      </c>
      <c r="N8" s="939"/>
      <c r="O8" s="939"/>
      <c r="P8" s="939"/>
      <c r="Q8" s="940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</row>
    <row r="9" spans="1:47" s="14" customFormat="1" ht="60" customHeight="1">
      <c r="A9" s="844"/>
      <c r="B9" s="844"/>
      <c r="C9" s="5" t="s">
        <v>216</v>
      </c>
      <c r="D9" s="5" t="s">
        <v>217</v>
      </c>
      <c r="E9" s="5" t="s">
        <v>361</v>
      </c>
      <c r="F9" s="5" t="s">
        <v>223</v>
      </c>
      <c r="G9" s="5" t="s">
        <v>120</v>
      </c>
      <c r="H9" s="108" t="s">
        <v>216</v>
      </c>
      <c r="I9" s="5" t="s">
        <v>217</v>
      </c>
      <c r="J9" s="477" t="s">
        <v>361</v>
      </c>
      <c r="K9" s="479" t="s">
        <v>223</v>
      </c>
      <c r="L9" s="478" t="s">
        <v>364</v>
      </c>
      <c r="M9" s="379" t="s">
        <v>216</v>
      </c>
      <c r="N9" s="379" t="s">
        <v>217</v>
      </c>
      <c r="O9" s="379" t="s">
        <v>361</v>
      </c>
      <c r="P9" s="380" t="s">
        <v>223</v>
      </c>
      <c r="Q9" s="379" t="s">
        <v>122</v>
      </c>
      <c r="R9" s="642"/>
      <c r="S9" s="642"/>
      <c r="T9" s="642"/>
      <c r="U9" s="642"/>
      <c r="V9" s="613"/>
      <c r="W9" s="613"/>
      <c r="X9" s="613"/>
      <c r="Y9" s="613"/>
      <c r="Z9" s="613"/>
      <c r="AA9" s="613"/>
      <c r="AB9" s="613"/>
      <c r="AC9" s="613"/>
      <c r="AD9" s="613"/>
      <c r="AE9" s="613"/>
      <c r="AF9" s="613"/>
      <c r="AG9" s="613"/>
      <c r="AH9" s="613"/>
      <c r="AI9" s="613"/>
      <c r="AJ9" s="613"/>
      <c r="AK9" s="613"/>
      <c r="AL9" s="498" t="s">
        <v>216</v>
      </c>
      <c r="AM9" s="499" t="s">
        <v>217</v>
      </c>
      <c r="AN9" s="497" t="s">
        <v>361</v>
      </c>
      <c r="AO9" s="497"/>
      <c r="AP9" s="499" t="s">
        <v>223</v>
      </c>
      <c r="AQ9" s="498"/>
      <c r="AR9" s="498"/>
      <c r="AS9" s="498" t="s">
        <v>364</v>
      </c>
    </row>
    <row r="10" spans="1:47" s="66" customFormat="1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562">
        <v>8</v>
      </c>
      <c r="I10" s="562">
        <v>9</v>
      </c>
      <c r="J10" s="563">
        <v>10</v>
      </c>
      <c r="K10" s="562">
        <v>11</v>
      </c>
      <c r="L10" s="533">
        <v>12</v>
      </c>
      <c r="M10" s="65">
        <v>13</v>
      </c>
      <c r="N10" s="65">
        <v>14</v>
      </c>
      <c r="O10" s="65">
        <v>15</v>
      </c>
      <c r="P10" s="65">
        <v>16</v>
      </c>
      <c r="Q10" s="531">
        <v>17</v>
      </c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65">
        <v>8</v>
      </c>
      <c r="AM10" s="65">
        <v>9</v>
      </c>
      <c r="AN10" s="531">
        <v>10</v>
      </c>
      <c r="AO10" s="531"/>
      <c r="AP10" s="65">
        <v>11</v>
      </c>
      <c r="AQ10" s="533"/>
      <c r="AR10" s="533"/>
      <c r="AS10" s="533">
        <v>12</v>
      </c>
      <c r="AT10" s="122"/>
      <c r="AU10" s="122"/>
    </row>
    <row r="11" spans="1:47" ht="20.25">
      <c r="A11" s="18">
        <v>1</v>
      </c>
      <c r="B11" s="409" t="s">
        <v>889</v>
      </c>
      <c r="C11" s="410">
        <v>140991</v>
      </c>
      <c r="D11" s="410">
        <v>0</v>
      </c>
      <c r="E11" s="410">
        <v>0</v>
      </c>
      <c r="F11" s="410">
        <v>3212</v>
      </c>
      <c r="G11" s="411">
        <f>SUM(C11:F11)</f>
        <v>144203</v>
      </c>
      <c r="H11" s="553">
        <v>95928</v>
      </c>
      <c r="I11" s="388">
        <f t="shared" ref="I11" si="0">D11*80/100</f>
        <v>0</v>
      </c>
      <c r="J11" s="388"/>
      <c r="K11" s="553">
        <v>2839</v>
      </c>
      <c r="L11" s="534">
        <f>H11+I11+J11+K11</f>
        <v>98767</v>
      </c>
      <c r="M11" s="388">
        <f>H11*232</f>
        <v>22255296</v>
      </c>
      <c r="N11" s="388">
        <f t="shared" ref="N11" si="1">I11*233</f>
        <v>0</v>
      </c>
      <c r="O11" s="388">
        <f>J11*232</f>
        <v>0</v>
      </c>
      <c r="P11" s="388">
        <f>K11*232</f>
        <v>658648</v>
      </c>
      <c r="Q11" s="532">
        <f>SUM(M11:P11)</f>
        <v>22913944</v>
      </c>
      <c r="R11" s="658">
        <f>L11/G11</f>
        <v>0.68491640257137509</v>
      </c>
      <c r="S11" s="532">
        <v>98766.551724137928</v>
      </c>
      <c r="T11" s="532">
        <f>S11-L11</f>
        <v>-0.44827586207247805</v>
      </c>
      <c r="U11" s="658">
        <f>S11/G11*100</f>
        <v>68.491329392688044</v>
      </c>
      <c r="V11" s="532">
        <v>98120</v>
      </c>
      <c r="W11" s="532">
        <f>L11/G11*100</f>
        <v>68.491640257137504</v>
      </c>
      <c r="X11" s="532">
        <f>L11-V11</f>
        <v>647</v>
      </c>
      <c r="Y11" s="532">
        <f>H11+K11</f>
        <v>98767</v>
      </c>
      <c r="Z11" s="532">
        <f>L11-Y11</f>
        <v>0</v>
      </c>
      <c r="AA11" s="532"/>
      <c r="AB11" s="532"/>
      <c r="AC11" s="658">
        <f>Q11*100/1000000</f>
        <v>2291.3944000000001</v>
      </c>
      <c r="AD11" s="532"/>
      <c r="AE11" s="532">
        <f>G11+'enrolment vs availed_UPY'!G11</f>
        <v>226149</v>
      </c>
      <c r="AF11" s="532"/>
      <c r="AG11" s="532"/>
      <c r="AH11" s="532"/>
      <c r="AI11" s="532"/>
      <c r="AJ11" s="532"/>
      <c r="AK11" s="532"/>
      <c r="AL11" s="536">
        <v>103815</v>
      </c>
      <c r="AM11" s="388">
        <f>2892310/2924621*AL11</f>
        <v>102668.05943402581</v>
      </c>
      <c r="AN11" s="532"/>
      <c r="AO11" s="532"/>
      <c r="AP11" s="299">
        <v>2365</v>
      </c>
      <c r="AQ11" s="548">
        <f>76169/77020*AP11</f>
        <v>2338.8689301480135</v>
      </c>
      <c r="AR11" s="547"/>
      <c r="AS11" s="534">
        <f>SUM(AL11:AP11)</f>
        <v>208848.05943402581</v>
      </c>
      <c r="AT11" s="546"/>
      <c r="AU11" s="546"/>
    </row>
    <row r="12" spans="1:47" ht="20.25">
      <c r="A12" s="18">
        <v>2</v>
      </c>
      <c r="B12" s="409" t="s">
        <v>890</v>
      </c>
      <c r="C12" s="410">
        <v>190760</v>
      </c>
      <c r="D12" s="410">
        <v>0</v>
      </c>
      <c r="E12" s="410">
        <v>0</v>
      </c>
      <c r="F12" s="410">
        <v>4357</v>
      </c>
      <c r="G12" s="411">
        <f t="shared" ref="G12:G43" si="2">SUM(C12:F12)</f>
        <v>195117</v>
      </c>
      <c r="H12" s="553">
        <v>125044</v>
      </c>
      <c r="I12" s="388">
        <f t="shared" ref="I12:I43" si="3">D12*80/100</f>
        <v>0</v>
      </c>
      <c r="J12" s="388"/>
      <c r="K12" s="553">
        <v>4173</v>
      </c>
      <c r="L12" s="534">
        <f t="shared" ref="L12:L43" si="4">SUM(H12:K12)</f>
        <v>129217</v>
      </c>
      <c r="M12" s="388">
        <f t="shared" ref="M12:M44" si="5">H12*232</f>
        <v>29010208</v>
      </c>
      <c r="N12" s="388">
        <f t="shared" ref="N12:N43" si="6">I12*233</f>
        <v>0</v>
      </c>
      <c r="O12" s="388">
        <f t="shared" ref="O12:O44" si="7">J12*232</f>
        <v>0</v>
      </c>
      <c r="P12" s="388">
        <f t="shared" ref="P12:P44" si="8">K12*232</f>
        <v>968136</v>
      </c>
      <c r="Q12" s="532">
        <f t="shared" ref="Q12:Q43" si="9">SUM(M12:P12)</f>
        <v>29978344</v>
      </c>
      <c r="R12" s="658">
        <f t="shared" ref="R12:R43" si="10">L12/G12</f>
        <v>0.66225392969346597</v>
      </c>
      <c r="S12" s="532">
        <v>129216.68965517239</v>
      </c>
      <c r="T12" s="532">
        <f t="shared" ref="T12:T44" si="11">S12-L12</f>
        <v>-0.31034482760878745</v>
      </c>
      <c r="U12" s="658">
        <f t="shared" ref="U12:U42" si="12">S12/G12*100</f>
        <v>66.225233913586408</v>
      </c>
      <c r="V12" s="532">
        <v>128096</v>
      </c>
      <c r="W12" s="532">
        <f t="shared" ref="W12:W44" si="13">L12/G12*100</f>
        <v>66.225392969346601</v>
      </c>
      <c r="X12" s="532">
        <f t="shared" ref="X12:X44" si="14">L12-V12</f>
        <v>1121</v>
      </c>
      <c r="Y12" s="532">
        <f t="shared" ref="Y12:Y43" si="15">H12+K12</f>
        <v>129217</v>
      </c>
      <c r="Z12" s="532">
        <f t="shared" ref="Z12:Z43" si="16">L12-Y12</f>
        <v>0</v>
      </c>
      <c r="AA12" s="532"/>
      <c r="AB12" s="532"/>
      <c r="AC12" s="658">
        <f t="shared" ref="AC12:AC42" si="17">Q12*100/1000000</f>
        <v>2997.8344000000002</v>
      </c>
      <c r="AD12" s="532"/>
      <c r="AE12" s="532">
        <f>G12+'enrolment vs availed_UPY'!G12</f>
        <v>293375</v>
      </c>
      <c r="AF12" s="532"/>
      <c r="AG12" s="532"/>
      <c r="AH12" s="532"/>
      <c r="AI12" s="532"/>
      <c r="AJ12" s="532"/>
      <c r="AK12" s="532"/>
      <c r="AL12" s="536">
        <v>140462</v>
      </c>
      <c r="AM12" s="388">
        <f t="shared" ref="AM12:AM43" si="18">2892310/2924621*AL12</f>
        <v>138910.18604461913</v>
      </c>
      <c r="AN12" s="532"/>
      <c r="AO12" s="532"/>
      <c r="AP12" s="299">
        <v>3208</v>
      </c>
      <c r="AQ12" s="548">
        <f t="shared" ref="AQ12:AQ46" si="19">76169/77020*AP12</f>
        <v>3172.5545572578553</v>
      </c>
      <c r="AR12" s="547"/>
      <c r="AS12" s="534">
        <f t="shared" ref="AS12:AS43" si="20">SUM(AL12:AP12)</f>
        <v>282580.18604461913</v>
      </c>
      <c r="AT12" s="546"/>
      <c r="AU12" s="546"/>
    </row>
    <row r="13" spans="1:47" ht="20.25">
      <c r="A13" s="18">
        <v>3</v>
      </c>
      <c r="B13" s="409" t="s">
        <v>891</v>
      </c>
      <c r="C13" s="410">
        <v>172351</v>
      </c>
      <c r="D13" s="410">
        <v>0</v>
      </c>
      <c r="E13" s="410">
        <v>11006</v>
      </c>
      <c r="F13" s="410">
        <v>654</v>
      </c>
      <c r="G13" s="411">
        <f t="shared" si="2"/>
        <v>184011</v>
      </c>
      <c r="H13" s="553">
        <v>125722</v>
      </c>
      <c r="I13" s="388">
        <f t="shared" si="3"/>
        <v>0</v>
      </c>
      <c r="J13" s="388">
        <v>8015</v>
      </c>
      <c r="K13" s="553">
        <v>477</v>
      </c>
      <c r="L13" s="534">
        <f t="shared" si="4"/>
        <v>134214</v>
      </c>
      <c r="M13" s="388">
        <f t="shared" si="5"/>
        <v>29167504</v>
      </c>
      <c r="N13" s="388">
        <f t="shared" si="6"/>
        <v>0</v>
      </c>
      <c r="O13" s="388">
        <f t="shared" si="7"/>
        <v>1859480</v>
      </c>
      <c r="P13" s="388">
        <f t="shared" si="8"/>
        <v>110664</v>
      </c>
      <c r="Q13" s="532">
        <f t="shared" si="9"/>
        <v>31137648</v>
      </c>
      <c r="R13" s="658">
        <f t="shared" si="10"/>
        <v>0.72938030878588778</v>
      </c>
      <c r="S13" s="532">
        <v>134214.03448275861</v>
      </c>
      <c r="T13" s="532">
        <f t="shared" si="11"/>
        <v>3.4482758608646691E-2</v>
      </c>
      <c r="U13" s="658">
        <f t="shared" si="12"/>
        <v>72.938049618098162</v>
      </c>
      <c r="V13" s="532">
        <v>133783</v>
      </c>
      <c r="W13" s="532">
        <f t="shared" si="13"/>
        <v>72.938030878588776</v>
      </c>
      <c r="X13" s="532">
        <f t="shared" si="14"/>
        <v>431</v>
      </c>
      <c r="Y13" s="532">
        <f t="shared" si="15"/>
        <v>126199</v>
      </c>
      <c r="Z13" s="532">
        <f t="shared" si="16"/>
        <v>8015</v>
      </c>
      <c r="AA13" s="532"/>
      <c r="AB13" s="532"/>
      <c r="AC13" s="658">
        <f t="shared" si="17"/>
        <v>3113.7647999999999</v>
      </c>
      <c r="AD13" s="532"/>
      <c r="AE13" s="532">
        <f>G13+'enrolment vs availed_UPY'!G13</f>
        <v>279889</v>
      </c>
      <c r="AF13" s="532"/>
      <c r="AG13" s="532"/>
      <c r="AH13" s="532"/>
      <c r="AI13" s="532"/>
      <c r="AJ13" s="532"/>
      <c r="AK13" s="532"/>
      <c r="AL13" s="536">
        <v>126907</v>
      </c>
      <c r="AM13" s="388">
        <f t="shared" si="18"/>
        <v>125504.94069829903</v>
      </c>
      <c r="AN13" s="532">
        <v>8104</v>
      </c>
      <c r="AO13" s="532">
        <f>19614/19833*AN13</f>
        <v>8014.5139918317955</v>
      </c>
      <c r="AP13" s="299">
        <v>482</v>
      </c>
      <c r="AQ13" s="548">
        <f t="shared" si="19"/>
        <v>476.67434432614908</v>
      </c>
      <c r="AR13" s="547"/>
      <c r="AS13" s="534">
        <f t="shared" si="20"/>
        <v>269012.45469013083</v>
      </c>
      <c r="AT13" s="546"/>
      <c r="AU13" s="546"/>
    </row>
    <row r="14" spans="1:47" s="295" customFormat="1" ht="20.25">
      <c r="A14" s="299">
        <v>4</v>
      </c>
      <c r="B14" s="409" t="s">
        <v>892</v>
      </c>
      <c r="C14" s="410">
        <v>77649</v>
      </c>
      <c r="D14" s="410">
        <v>0</v>
      </c>
      <c r="E14" s="410">
        <v>0</v>
      </c>
      <c r="F14" s="410">
        <v>3877</v>
      </c>
      <c r="G14" s="411">
        <f t="shared" si="2"/>
        <v>81526</v>
      </c>
      <c r="H14" s="299">
        <v>75543</v>
      </c>
      <c r="I14" s="388">
        <f t="shared" si="3"/>
        <v>0</v>
      </c>
      <c r="J14" s="388">
        <v>0</v>
      </c>
      <c r="K14" s="299">
        <v>3786</v>
      </c>
      <c r="L14" s="534">
        <f t="shared" si="4"/>
        <v>79329</v>
      </c>
      <c r="M14" s="388">
        <f t="shared" si="5"/>
        <v>17525976</v>
      </c>
      <c r="N14" s="388">
        <f t="shared" si="6"/>
        <v>0</v>
      </c>
      <c r="O14" s="388">
        <f t="shared" si="7"/>
        <v>0</v>
      </c>
      <c r="P14" s="388">
        <f t="shared" si="8"/>
        <v>878352</v>
      </c>
      <c r="Q14" s="532">
        <f t="shared" si="9"/>
        <v>18404328</v>
      </c>
      <c r="R14" s="658">
        <f t="shared" si="10"/>
        <v>0.97305154183941323</v>
      </c>
      <c r="S14" s="532">
        <v>95415.206896551725</v>
      </c>
      <c r="T14" s="532">
        <f t="shared" si="11"/>
        <v>16086.206896551725</v>
      </c>
      <c r="U14" s="658">
        <f t="shared" si="12"/>
        <v>117.03653668345279</v>
      </c>
      <c r="V14" s="532">
        <v>95329</v>
      </c>
      <c r="W14" s="532">
        <f t="shared" si="13"/>
        <v>97.305154183941326</v>
      </c>
      <c r="X14" s="532">
        <f t="shared" si="14"/>
        <v>-16000</v>
      </c>
      <c r="Y14" s="532">
        <f t="shared" si="15"/>
        <v>79329</v>
      </c>
      <c r="Z14" s="532">
        <f t="shared" si="16"/>
        <v>0</v>
      </c>
      <c r="AA14" s="658">
        <f>L14*232*100/1000000</f>
        <v>1840.4328</v>
      </c>
      <c r="AB14" s="658">
        <f>107932*233*100/1000000</f>
        <v>2514.8155999999999</v>
      </c>
      <c r="AC14" s="658">
        <f t="shared" si="17"/>
        <v>1840.4328</v>
      </c>
      <c r="AD14" s="532"/>
      <c r="AE14" s="532">
        <f>G14+'enrolment vs availed_UPY'!G14</f>
        <v>121287</v>
      </c>
      <c r="AF14" s="532"/>
      <c r="AG14" s="532"/>
      <c r="AH14" s="532"/>
      <c r="AI14" s="532"/>
      <c r="AJ14" s="532"/>
      <c r="AK14" s="532"/>
      <c r="AL14" s="662">
        <v>57175</v>
      </c>
      <c r="AM14" s="388">
        <f t="shared" si="18"/>
        <v>56543.334760298858</v>
      </c>
      <c r="AN14" s="532">
        <v>0</v>
      </c>
      <c r="AO14" s="532">
        <f t="shared" ref="AO14:AO46" si="21">19614/19833*AN14</f>
        <v>0</v>
      </c>
      <c r="AP14" s="299">
        <v>2855</v>
      </c>
      <c r="AQ14" s="548">
        <f t="shared" si="19"/>
        <v>2823.4548818488706</v>
      </c>
      <c r="AR14" s="547"/>
      <c r="AS14" s="534">
        <f t="shared" si="20"/>
        <v>116573.33476029887</v>
      </c>
      <c r="AT14" s="660"/>
      <c r="AU14" s="660"/>
    </row>
    <row r="15" spans="1:47" ht="20.25">
      <c r="A15" s="18">
        <v>5</v>
      </c>
      <c r="B15" s="409" t="s">
        <v>893</v>
      </c>
      <c r="C15" s="410">
        <v>280488</v>
      </c>
      <c r="D15" s="410">
        <v>0</v>
      </c>
      <c r="E15" s="410">
        <v>0</v>
      </c>
      <c r="F15" s="410">
        <v>13497</v>
      </c>
      <c r="G15" s="411">
        <f t="shared" si="2"/>
        <v>293985</v>
      </c>
      <c r="H15" s="553">
        <v>198311</v>
      </c>
      <c r="I15" s="388">
        <f t="shared" si="3"/>
        <v>0</v>
      </c>
      <c r="J15" s="388">
        <v>0</v>
      </c>
      <c r="K15" s="553">
        <v>9828</v>
      </c>
      <c r="L15" s="534">
        <f t="shared" si="4"/>
        <v>208139</v>
      </c>
      <c r="M15" s="388">
        <f t="shared" si="5"/>
        <v>46008152</v>
      </c>
      <c r="N15" s="388">
        <f t="shared" si="6"/>
        <v>0</v>
      </c>
      <c r="O15" s="388">
        <f t="shared" si="7"/>
        <v>0</v>
      </c>
      <c r="P15" s="388">
        <f t="shared" si="8"/>
        <v>2280096</v>
      </c>
      <c r="Q15" s="532">
        <f t="shared" si="9"/>
        <v>48288248</v>
      </c>
      <c r="R15" s="658">
        <f t="shared" si="10"/>
        <v>0.70799190434886139</v>
      </c>
      <c r="S15" s="532">
        <v>208139</v>
      </c>
      <c r="T15" s="532">
        <f t="shared" si="11"/>
        <v>0</v>
      </c>
      <c r="U15" s="658">
        <f t="shared" si="12"/>
        <v>70.799190434886142</v>
      </c>
      <c r="V15" s="532">
        <v>208139</v>
      </c>
      <c r="W15" s="532">
        <f t="shared" si="13"/>
        <v>70.799190434886142</v>
      </c>
      <c r="X15" s="532">
        <f t="shared" si="14"/>
        <v>0</v>
      </c>
      <c r="Y15" s="532">
        <f t="shared" si="15"/>
        <v>208139</v>
      </c>
      <c r="Z15" s="532">
        <f t="shared" si="16"/>
        <v>0</v>
      </c>
      <c r="AA15" s="658">
        <f>Y14*232*100/1000000</f>
        <v>1840.4328</v>
      </c>
      <c r="AB15" s="532"/>
      <c r="AC15" s="658">
        <f t="shared" si="17"/>
        <v>4828.8248000000003</v>
      </c>
      <c r="AD15" s="532"/>
      <c r="AE15" s="532">
        <f>G15+'enrolment vs availed_UPY'!G15</f>
        <v>408236</v>
      </c>
      <c r="AF15" s="532"/>
      <c r="AG15" s="532"/>
      <c r="AH15" s="532"/>
      <c r="AI15" s="532"/>
      <c r="AJ15" s="532"/>
      <c r="AK15" s="532"/>
      <c r="AL15" s="536">
        <v>206531</v>
      </c>
      <c r="AM15" s="388">
        <f t="shared" si="18"/>
        <v>204249.26054008366</v>
      </c>
      <c r="AN15" s="532">
        <v>0</v>
      </c>
      <c r="AO15" s="532">
        <f t="shared" si="21"/>
        <v>0</v>
      </c>
      <c r="AP15" s="299">
        <v>9938</v>
      </c>
      <c r="AQ15" s="548">
        <f t="shared" si="19"/>
        <v>9828.1942612308503</v>
      </c>
      <c r="AR15" s="547"/>
      <c r="AS15" s="534">
        <f t="shared" si="20"/>
        <v>420718.26054008363</v>
      </c>
      <c r="AT15" s="546"/>
      <c r="AU15" s="546"/>
    </row>
    <row r="16" spans="1:47" ht="20.25">
      <c r="A16" s="18">
        <v>6</v>
      </c>
      <c r="B16" s="409" t="s">
        <v>894</v>
      </c>
      <c r="C16" s="410">
        <v>128162</v>
      </c>
      <c r="D16" s="410">
        <v>0</v>
      </c>
      <c r="E16" s="410">
        <v>0</v>
      </c>
      <c r="F16" s="410">
        <v>2346</v>
      </c>
      <c r="G16" s="411">
        <f t="shared" si="2"/>
        <v>130508</v>
      </c>
      <c r="H16" s="553">
        <v>88466</v>
      </c>
      <c r="I16" s="388">
        <f t="shared" si="3"/>
        <v>0</v>
      </c>
      <c r="J16" s="388">
        <v>0</v>
      </c>
      <c r="K16" s="553">
        <v>1708</v>
      </c>
      <c r="L16" s="534">
        <f t="shared" si="4"/>
        <v>90174</v>
      </c>
      <c r="M16" s="388">
        <f t="shared" si="5"/>
        <v>20524112</v>
      </c>
      <c r="N16" s="388">
        <f t="shared" si="6"/>
        <v>0</v>
      </c>
      <c r="O16" s="388">
        <f t="shared" si="7"/>
        <v>0</v>
      </c>
      <c r="P16" s="388">
        <f t="shared" si="8"/>
        <v>396256</v>
      </c>
      <c r="Q16" s="532">
        <f t="shared" si="9"/>
        <v>20920368</v>
      </c>
      <c r="R16" s="658">
        <f t="shared" si="10"/>
        <v>0.69094614889508688</v>
      </c>
      <c r="S16" s="532">
        <v>90173.999999999985</v>
      </c>
      <c r="T16" s="532">
        <f t="shared" si="11"/>
        <v>0</v>
      </c>
      <c r="U16" s="658">
        <f t="shared" si="12"/>
        <v>69.094614889508676</v>
      </c>
      <c r="V16" s="532">
        <v>90174</v>
      </c>
      <c r="W16" s="532">
        <f t="shared" si="13"/>
        <v>69.094614889508691</v>
      </c>
      <c r="X16" s="532">
        <f t="shared" si="14"/>
        <v>0</v>
      </c>
      <c r="Y16" s="532">
        <f t="shared" si="15"/>
        <v>90174</v>
      </c>
      <c r="Z16" s="532">
        <f t="shared" si="16"/>
        <v>0</v>
      </c>
      <c r="AA16" s="532"/>
      <c r="AB16" s="532"/>
      <c r="AC16" s="658">
        <f t="shared" si="17"/>
        <v>2092.0367999999999</v>
      </c>
      <c r="AD16" s="532"/>
      <c r="AE16" s="532">
        <f>G16+'enrolment vs availed_UPY'!G16</f>
        <v>200828</v>
      </c>
      <c r="AF16" s="532"/>
      <c r="AG16" s="532"/>
      <c r="AH16" s="532"/>
      <c r="AI16" s="532"/>
      <c r="AJ16" s="532"/>
      <c r="AK16" s="532"/>
      <c r="AL16" s="536">
        <v>94369</v>
      </c>
      <c r="AM16" s="388">
        <f t="shared" si="18"/>
        <v>93326.418154694227</v>
      </c>
      <c r="AN16" s="532">
        <v>0</v>
      </c>
      <c r="AO16" s="532">
        <f t="shared" si="21"/>
        <v>0</v>
      </c>
      <c r="AP16" s="299">
        <v>1727</v>
      </c>
      <c r="AQ16" s="548">
        <f t="shared" si="19"/>
        <v>1707.918242015061</v>
      </c>
      <c r="AR16" s="547"/>
      <c r="AS16" s="534">
        <f t="shared" si="20"/>
        <v>189422.41815469423</v>
      </c>
      <c r="AT16" s="546"/>
      <c r="AU16" s="546"/>
    </row>
    <row r="17" spans="1:47" ht="20.25">
      <c r="A17" s="18">
        <v>7</v>
      </c>
      <c r="B17" s="409" t="s">
        <v>895</v>
      </c>
      <c r="C17" s="410">
        <v>168884</v>
      </c>
      <c r="D17" s="410">
        <v>0</v>
      </c>
      <c r="E17" s="410">
        <v>0</v>
      </c>
      <c r="F17" s="410">
        <v>3581</v>
      </c>
      <c r="G17" s="411">
        <f t="shared" si="2"/>
        <v>172465</v>
      </c>
      <c r="H17" s="553">
        <v>136102</v>
      </c>
      <c r="I17" s="388">
        <f t="shared" si="3"/>
        <v>0</v>
      </c>
      <c r="J17" s="388">
        <v>0</v>
      </c>
      <c r="K17" s="553">
        <v>2608</v>
      </c>
      <c r="L17" s="534">
        <f t="shared" si="4"/>
        <v>138710</v>
      </c>
      <c r="M17" s="388">
        <f t="shared" si="5"/>
        <v>31575664</v>
      </c>
      <c r="N17" s="388">
        <f t="shared" si="6"/>
        <v>0</v>
      </c>
      <c r="O17" s="388">
        <f t="shared" si="7"/>
        <v>0</v>
      </c>
      <c r="P17" s="388">
        <f t="shared" si="8"/>
        <v>605056</v>
      </c>
      <c r="Q17" s="532">
        <f t="shared" si="9"/>
        <v>32180720</v>
      </c>
      <c r="R17" s="658">
        <f t="shared" si="10"/>
        <v>0.80427912909865773</v>
      </c>
      <c r="S17" s="532">
        <v>138709.62068965516</v>
      </c>
      <c r="T17" s="532">
        <f t="shared" si="11"/>
        <v>-0.37931034484063275</v>
      </c>
      <c r="U17" s="658">
        <f t="shared" si="12"/>
        <v>80.427692975186361</v>
      </c>
      <c r="V17" s="532">
        <v>138451</v>
      </c>
      <c r="W17" s="532">
        <f t="shared" si="13"/>
        <v>80.427912909865768</v>
      </c>
      <c r="X17" s="532">
        <f t="shared" si="14"/>
        <v>259</v>
      </c>
      <c r="Y17" s="532">
        <f t="shared" si="15"/>
        <v>138710</v>
      </c>
      <c r="Z17" s="532">
        <f t="shared" si="16"/>
        <v>0</v>
      </c>
      <c r="AA17" s="532"/>
      <c r="AB17" s="532"/>
      <c r="AC17" s="658">
        <f t="shared" si="17"/>
        <v>3218.0720000000001</v>
      </c>
      <c r="AD17" s="532"/>
      <c r="AE17" s="532">
        <f>G17+'enrolment vs availed_UPY'!G17</f>
        <v>267745</v>
      </c>
      <c r="AF17" s="532"/>
      <c r="AG17" s="532"/>
      <c r="AH17" s="532"/>
      <c r="AI17" s="532"/>
      <c r="AJ17" s="532"/>
      <c r="AK17" s="532"/>
      <c r="AL17" s="536">
        <v>124354</v>
      </c>
      <c r="AM17" s="388">
        <f t="shared" si="18"/>
        <v>122980.14605653177</v>
      </c>
      <c r="AN17" s="532">
        <v>0</v>
      </c>
      <c r="AO17" s="532">
        <f t="shared" si="21"/>
        <v>0</v>
      </c>
      <c r="AP17" s="299">
        <v>2637</v>
      </c>
      <c r="AQ17" s="548">
        <f t="shared" si="19"/>
        <v>2607.8635808880813</v>
      </c>
      <c r="AR17" s="547"/>
      <c r="AS17" s="534">
        <f t="shared" si="20"/>
        <v>249971.14605653175</v>
      </c>
      <c r="AT17" s="546"/>
      <c r="AU17" s="546"/>
    </row>
    <row r="18" spans="1:47" ht="20.25">
      <c r="A18" s="18">
        <v>8</v>
      </c>
      <c r="B18" s="409" t="s">
        <v>896</v>
      </c>
      <c r="C18" s="410">
        <v>132158</v>
      </c>
      <c r="D18" s="410">
        <v>0</v>
      </c>
      <c r="E18" s="410">
        <v>0</v>
      </c>
      <c r="F18" s="410">
        <v>1190</v>
      </c>
      <c r="G18" s="411">
        <f t="shared" si="2"/>
        <v>133348</v>
      </c>
      <c r="H18" s="553">
        <v>95358</v>
      </c>
      <c r="I18" s="388">
        <f t="shared" si="3"/>
        <v>0</v>
      </c>
      <c r="J18" s="388">
        <v>0</v>
      </c>
      <c r="K18" s="553">
        <v>866</v>
      </c>
      <c r="L18" s="534">
        <f t="shared" si="4"/>
        <v>96224</v>
      </c>
      <c r="M18" s="388">
        <f t="shared" si="5"/>
        <v>22123056</v>
      </c>
      <c r="N18" s="388">
        <f t="shared" si="6"/>
        <v>0</v>
      </c>
      <c r="O18" s="388">
        <f t="shared" si="7"/>
        <v>0</v>
      </c>
      <c r="P18" s="388">
        <f t="shared" si="8"/>
        <v>200912</v>
      </c>
      <c r="Q18" s="532">
        <f t="shared" si="9"/>
        <v>22323968</v>
      </c>
      <c r="R18" s="658">
        <f t="shared" si="10"/>
        <v>0.72160062393136759</v>
      </c>
      <c r="S18" s="532">
        <v>96224</v>
      </c>
      <c r="T18" s="532">
        <f t="shared" si="11"/>
        <v>0</v>
      </c>
      <c r="U18" s="658">
        <f t="shared" si="12"/>
        <v>72.160062393136755</v>
      </c>
      <c r="V18" s="532">
        <v>96224</v>
      </c>
      <c r="W18" s="532">
        <f t="shared" si="13"/>
        <v>72.160062393136755</v>
      </c>
      <c r="X18" s="532">
        <f t="shared" si="14"/>
        <v>0</v>
      </c>
      <c r="Y18" s="532">
        <f t="shared" si="15"/>
        <v>96224</v>
      </c>
      <c r="Z18" s="532">
        <f t="shared" si="16"/>
        <v>0</v>
      </c>
      <c r="AA18" s="532"/>
      <c r="AB18" s="532"/>
      <c r="AC18" s="658">
        <f t="shared" si="17"/>
        <v>2232.3968</v>
      </c>
      <c r="AD18" s="532"/>
      <c r="AE18" s="532">
        <f>G18+'enrolment vs availed_UPY'!G18</f>
        <v>199348</v>
      </c>
      <c r="AF18" s="532"/>
      <c r="AG18" s="532"/>
      <c r="AH18" s="532"/>
      <c r="AI18" s="532"/>
      <c r="AJ18" s="532"/>
      <c r="AK18" s="532"/>
      <c r="AL18" s="536">
        <v>97312</v>
      </c>
      <c r="AM18" s="388">
        <f t="shared" si="18"/>
        <v>96236.904104839574</v>
      </c>
      <c r="AN18" s="532">
        <v>0</v>
      </c>
      <c r="AO18" s="532">
        <f t="shared" si="21"/>
        <v>0</v>
      </c>
      <c r="AP18" s="299">
        <v>876</v>
      </c>
      <c r="AQ18" s="548">
        <f t="shared" si="19"/>
        <v>866.32100753051157</v>
      </c>
      <c r="AR18" s="547"/>
      <c r="AS18" s="534">
        <f t="shared" si="20"/>
        <v>194424.90410483957</v>
      </c>
      <c r="AT18" s="546"/>
      <c r="AU18" s="546"/>
    </row>
    <row r="19" spans="1:47" ht="20.25">
      <c r="A19" s="18">
        <v>9</v>
      </c>
      <c r="B19" s="409" t="s">
        <v>897</v>
      </c>
      <c r="C19" s="410">
        <v>70340</v>
      </c>
      <c r="D19" s="410">
        <v>0</v>
      </c>
      <c r="E19" s="410">
        <v>0</v>
      </c>
      <c r="F19" s="410">
        <v>1667</v>
      </c>
      <c r="G19" s="411">
        <f t="shared" si="2"/>
        <v>72007</v>
      </c>
      <c r="H19" s="553">
        <v>60177</v>
      </c>
      <c r="I19" s="388">
        <f t="shared" si="3"/>
        <v>0</v>
      </c>
      <c r="J19" s="388">
        <v>0</v>
      </c>
      <c r="K19" s="553">
        <v>1213</v>
      </c>
      <c r="L19" s="534">
        <f t="shared" si="4"/>
        <v>61390</v>
      </c>
      <c r="M19" s="388">
        <f t="shared" si="5"/>
        <v>13961064</v>
      </c>
      <c r="N19" s="388">
        <f t="shared" si="6"/>
        <v>0</v>
      </c>
      <c r="O19" s="388">
        <f t="shared" si="7"/>
        <v>0</v>
      </c>
      <c r="P19" s="388">
        <f t="shared" si="8"/>
        <v>281416</v>
      </c>
      <c r="Q19" s="532">
        <f t="shared" si="9"/>
        <v>14242480</v>
      </c>
      <c r="R19" s="658">
        <f t="shared" si="10"/>
        <v>0.85255600149985422</v>
      </c>
      <c r="S19" s="532">
        <v>61390.034482758616</v>
      </c>
      <c r="T19" s="532">
        <f t="shared" si="11"/>
        <v>3.4482758615922648E-2</v>
      </c>
      <c r="U19" s="658">
        <f t="shared" si="12"/>
        <v>85.255648038049941</v>
      </c>
      <c r="V19" s="532">
        <v>60959</v>
      </c>
      <c r="W19" s="532">
        <f t="shared" si="13"/>
        <v>85.255600149985426</v>
      </c>
      <c r="X19" s="532">
        <f t="shared" si="14"/>
        <v>431</v>
      </c>
      <c r="Y19" s="532">
        <f t="shared" si="15"/>
        <v>61390</v>
      </c>
      <c r="Z19" s="532">
        <f t="shared" si="16"/>
        <v>0</v>
      </c>
      <c r="AA19" s="532"/>
      <c r="AB19" s="532"/>
      <c r="AC19" s="658">
        <f t="shared" si="17"/>
        <v>1424.248</v>
      </c>
      <c r="AD19" s="532"/>
      <c r="AE19" s="532">
        <f>G19+'enrolment vs availed_UPY'!G19</f>
        <v>111012</v>
      </c>
      <c r="AF19" s="532"/>
      <c r="AG19" s="532"/>
      <c r="AH19" s="532"/>
      <c r="AI19" s="532"/>
      <c r="AJ19" s="532"/>
      <c r="AK19" s="532"/>
      <c r="AL19" s="536">
        <v>51793</v>
      </c>
      <c r="AM19" s="388">
        <f t="shared" si="18"/>
        <v>51220.794704681393</v>
      </c>
      <c r="AN19" s="532">
        <v>0</v>
      </c>
      <c r="AO19" s="532">
        <f t="shared" si="21"/>
        <v>0</v>
      </c>
      <c r="AP19" s="299">
        <v>1227</v>
      </c>
      <c r="AQ19" s="548">
        <f t="shared" si="19"/>
        <v>1213.4427810958193</v>
      </c>
      <c r="AR19" s="547"/>
      <c r="AS19" s="534">
        <f t="shared" si="20"/>
        <v>104240.79470468139</v>
      </c>
      <c r="AT19" s="546"/>
      <c r="AU19" s="546"/>
    </row>
    <row r="20" spans="1:47" ht="20.25">
      <c r="A20" s="18">
        <v>10</v>
      </c>
      <c r="B20" s="409" t="s">
        <v>898</v>
      </c>
      <c r="C20" s="410">
        <v>97107</v>
      </c>
      <c r="D20" s="410">
        <v>0</v>
      </c>
      <c r="E20" s="410">
        <v>0</v>
      </c>
      <c r="F20" s="410">
        <v>1856</v>
      </c>
      <c r="G20" s="411">
        <f t="shared" si="2"/>
        <v>98963</v>
      </c>
      <c r="H20" s="553">
        <v>65491</v>
      </c>
      <c r="I20" s="388">
        <f t="shared" si="3"/>
        <v>0</v>
      </c>
      <c r="J20" s="388">
        <v>0</v>
      </c>
      <c r="K20" s="553">
        <v>1352</v>
      </c>
      <c r="L20" s="534">
        <f t="shared" si="4"/>
        <v>66843</v>
      </c>
      <c r="M20" s="388">
        <f t="shared" si="5"/>
        <v>15193912</v>
      </c>
      <c r="N20" s="388">
        <f t="shared" si="6"/>
        <v>0</v>
      </c>
      <c r="O20" s="388">
        <f t="shared" si="7"/>
        <v>0</v>
      </c>
      <c r="P20" s="388">
        <f t="shared" si="8"/>
        <v>313664</v>
      </c>
      <c r="Q20" s="532">
        <f t="shared" si="9"/>
        <v>15507576</v>
      </c>
      <c r="R20" s="658">
        <f t="shared" si="10"/>
        <v>0.67543425320574357</v>
      </c>
      <c r="S20" s="532">
        <v>66843.034482758623</v>
      </c>
      <c r="T20" s="532">
        <f t="shared" si="11"/>
        <v>3.4482758623198606E-2</v>
      </c>
      <c r="U20" s="658">
        <f t="shared" si="12"/>
        <v>67.543460164666214</v>
      </c>
      <c r="V20" s="532">
        <v>66412</v>
      </c>
      <c r="W20" s="532">
        <f t="shared" si="13"/>
        <v>67.543425320574357</v>
      </c>
      <c r="X20" s="532">
        <f t="shared" si="14"/>
        <v>431</v>
      </c>
      <c r="Y20" s="532">
        <f t="shared" si="15"/>
        <v>66843</v>
      </c>
      <c r="Z20" s="532">
        <f t="shared" si="16"/>
        <v>0</v>
      </c>
      <c r="AA20" s="532"/>
      <c r="AB20" s="532"/>
      <c r="AC20" s="658">
        <f t="shared" si="17"/>
        <v>1550.7575999999999</v>
      </c>
      <c r="AD20" s="532"/>
      <c r="AE20" s="532">
        <f>G20+'enrolment vs availed_UPY'!G20</f>
        <v>155950</v>
      </c>
      <c r="AF20" s="532"/>
      <c r="AG20" s="532"/>
      <c r="AH20" s="532"/>
      <c r="AI20" s="532"/>
      <c r="AJ20" s="532"/>
      <c r="AK20" s="532"/>
      <c r="AL20" s="536">
        <v>71503</v>
      </c>
      <c r="AM20" s="388">
        <f t="shared" si="18"/>
        <v>70713.04005886575</v>
      </c>
      <c r="AN20" s="532">
        <v>0</v>
      </c>
      <c r="AO20" s="532">
        <f t="shared" si="21"/>
        <v>0</v>
      </c>
      <c r="AP20" s="299">
        <v>1367</v>
      </c>
      <c r="AQ20" s="548">
        <f t="shared" si="19"/>
        <v>1351.8959101532071</v>
      </c>
      <c r="AR20" s="547"/>
      <c r="AS20" s="534">
        <f t="shared" si="20"/>
        <v>143583.04005886574</v>
      </c>
      <c r="AT20" s="546"/>
      <c r="AU20" s="546"/>
    </row>
    <row r="21" spans="1:47" ht="20.25">
      <c r="A21" s="18">
        <v>11</v>
      </c>
      <c r="B21" s="409" t="s">
        <v>899</v>
      </c>
      <c r="C21" s="410">
        <v>103399</v>
      </c>
      <c r="D21" s="410">
        <v>0</v>
      </c>
      <c r="E21" s="410">
        <v>0</v>
      </c>
      <c r="F21" s="410">
        <v>2093</v>
      </c>
      <c r="G21" s="411">
        <f t="shared" si="2"/>
        <v>105492</v>
      </c>
      <c r="H21" s="553">
        <v>85299</v>
      </c>
      <c r="I21" s="388">
        <f t="shared" si="3"/>
        <v>0</v>
      </c>
      <c r="J21" s="388">
        <v>0</v>
      </c>
      <c r="K21" s="553">
        <v>1524</v>
      </c>
      <c r="L21" s="534">
        <f t="shared" si="4"/>
        <v>86823</v>
      </c>
      <c r="M21" s="388">
        <f t="shared" si="5"/>
        <v>19789368</v>
      </c>
      <c r="N21" s="388">
        <f t="shared" si="6"/>
        <v>0</v>
      </c>
      <c r="O21" s="388">
        <f t="shared" si="7"/>
        <v>0</v>
      </c>
      <c r="P21" s="388">
        <f t="shared" si="8"/>
        <v>353568</v>
      </c>
      <c r="Q21" s="532">
        <f t="shared" si="9"/>
        <v>20142936</v>
      </c>
      <c r="R21" s="658">
        <f t="shared" si="10"/>
        <v>0.82302923444431808</v>
      </c>
      <c r="S21" s="532">
        <v>86823</v>
      </c>
      <c r="T21" s="532">
        <f t="shared" si="11"/>
        <v>0</v>
      </c>
      <c r="U21" s="658">
        <f t="shared" si="12"/>
        <v>82.302923444431812</v>
      </c>
      <c r="V21" s="532">
        <v>86823</v>
      </c>
      <c r="W21" s="532">
        <f t="shared" si="13"/>
        <v>82.302923444431812</v>
      </c>
      <c r="X21" s="532">
        <f t="shared" si="14"/>
        <v>0</v>
      </c>
      <c r="Y21" s="532">
        <f t="shared" si="15"/>
        <v>86823</v>
      </c>
      <c r="Z21" s="532">
        <f t="shared" si="16"/>
        <v>0</v>
      </c>
      <c r="AA21" s="532"/>
      <c r="AB21" s="532"/>
      <c r="AC21" s="658">
        <f t="shared" si="17"/>
        <v>2014.2936</v>
      </c>
      <c r="AD21" s="532"/>
      <c r="AE21" s="532">
        <f>G21+'enrolment vs availed_UPY'!G21</f>
        <v>167473</v>
      </c>
      <c r="AF21" s="532"/>
      <c r="AG21" s="532"/>
      <c r="AH21" s="532"/>
      <c r="AI21" s="532"/>
      <c r="AJ21" s="532"/>
      <c r="AK21" s="532"/>
      <c r="AL21" s="536">
        <v>76136</v>
      </c>
      <c r="AM21" s="388">
        <f t="shared" si="18"/>
        <v>75294.855011982756</v>
      </c>
      <c r="AN21" s="532">
        <v>0</v>
      </c>
      <c r="AO21" s="532">
        <f t="shared" si="21"/>
        <v>0</v>
      </c>
      <c r="AP21" s="299">
        <v>1541</v>
      </c>
      <c r="AQ21" s="548">
        <f t="shared" si="19"/>
        <v>1523.9733705531032</v>
      </c>
      <c r="AR21" s="547"/>
      <c r="AS21" s="534">
        <f t="shared" si="20"/>
        <v>152971.85501198276</v>
      </c>
      <c r="AT21" s="546"/>
      <c r="AU21" s="546"/>
    </row>
    <row r="22" spans="1:47" ht="20.25">
      <c r="A22" s="18">
        <v>12</v>
      </c>
      <c r="B22" s="409" t="s">
        <v>900</v>
      </c>
      <c r="C22" s="410">
        <v>80590</v>
      </c>
      <c r="D22" s="410">
        <v>0</v>
      </c>
      <c r="E22" s="410">
        <v>0</v>
      </c>
      <c r="F22" s="410">
        <v>1705</v>
      </c>
      <c r="G22" s="411">
        <f t="shared" si="2"/>
        <v>82295</v>
      </c>
      <c r="H22" s="553">
        <v>70036</v>
      </c>
      <c r="I22" s="388">
        <f t="shared" si="3"/>
        <v>0</v>
      </c>
      <c r="J22" s="388">
        <v>0</v>
      </c>
      <c r="K22" s="553">
        <v>1241</v>
      </c>
      <c r="L22" s="534">
        <f t="shared" si="4"/>
        <v>71277</v>
      </c>
      <c r="M22" s="388">
        <f t="shared" si="5"/>
        <v>16248352</v>
      </c>
      <c r="N22" s="388">
        <f t="shared" si="6"/>
        <v>0</v>
      </c>
      <c r="O22" s="388">
        <f t="shared" si="7"/>
        <v>0</v>
      </c>
      <c r="P22" s="388">
        <f t="shared" si="8"/>
        <v>287912</v>
      </c>
      <c r="Q22" s="532">
        <f t="shared" si="9"/>
        <v>16536264</v>
      </c>
      <c r="R22" s="658">
        <f t="shared" si="10"/>
        <v>0.86611580290418611</v>
      </c>
      <c r="S22" s="532">
        <v>71277.103448275855</v>
      </c>
      <c r="T22" s="532">
        <f t="shared" si="11"/>
        <v>0.1034482758550439</v>
      </c>
      <c r="U22" s="658">
        <f t="shared" si="12"/>
        <v>86.611705994624046</v>
      </c>
      <c r="V22" s="532">
        <v>69984</v>
      </c>
      <c r="W22" s="532">
        <f t="shared" si="13"/>
        <v>86.611580290418615</v>
      </c>
      <c r="X22" s="532">
        <f t="shared" si="14"/>
        <v>1293</v>
      </c>
      <c r="Y22" s="532">
        <f t="shared" si="15"/>
        <v>71277</v>
      </c>
      <c r="Z22" s="532">
        <f t="shared" si="16"/>
        <v>0</v>
      </c>
      <c r="AA22" s="532"/>
      <c r="AB22" s="532"/>
      <c r="AC22" s="658">
        <f t="shared" si="17"/>
        <v>1653.6264000000001</v>
      </c>
      <c r="AD22" s="532"/>
      <c r="AE22" s="532">
        <f>G22+'enrolment vs availed_UPY'!G22</f>
        <v>131065</v>
      </c>
      <c r="AF22" s="532"/>
      <c r="AG22" s="532"/>
      <c r="AH22" s="532"/>
      <c r="AI22" s="532"/>
      <c r="AJ22" s="532"/>
      <c r="AK22" s="532"/>
      <c r="AL22" s="536">
        <v>59341</v>
      </c>
      <c r="AM22" s="388">
        <f t="shared" si="18"/>
        <v>58685.404949906333</v>
      </c>
      <c r="AN22" s="532">
        <v>0</v>
      </c>
      <c r="AO22" s="532">
        <f t="shared" si="21"/>
        <v>0</v>
      </c>
      <c r="AP22" s="299">
        <v>1255</v>
      </c>
      <c r="AQ22" s="548">
        <f t="shared" si="19"/>
        <v>1241.1334069072968</v>
      </c>
      <c r="AR22" s="547"/>
      <c r="AS22" s="534">
        <f t="shared" si="20"/>
        <v>119281.40494990634</v>
      </c>
      <c r="AT22" s="546"/>
      <c r="AU22" s="546"/>
    </row>
    <row r="23" spans="1:47" ht="20.25">
      <c r="A23" s="18">
        <v>13</v>
      </c>
      <c r="B23" s="409" t="s">
        <v>901</v>
      </c>
      <c r="C23" s="410">
        <v>101703</v>
      </c>
      <c r="D23" s="410">
        <v>0</v>
      </c>
      <c r="E23" s="410">
        <v>0</v>
      </c>
      <c r="F23" s="410">
        <v>3041</v>
      </c>
      <c r="G23" s="411">
        <f t="shared" si="2"/>
        <v>104744</v>
      </c>
      <c r="H23" s="553">
        <v>60631</v>
      </c>
      <c r="I23" s="388">
        <f t="shared" si="3"/>
        <v>0</v>
      </c>
      <c r="J23" s="388">
        <v>0</v>
      </c>
      <c r="K23" s="553">
        <v>2214</v>
      </c>
      <c r="L23" s="534">
        <f t="shared" si="4"/>
        <v>62845</v>
      </c>
      <c r="M23" s="388">
        <f t="shared" si="5"/>
        <v>14066392</v>
      </c>
      <c r="N23" s="388">
        <f t="shared" si="6"/>
        <v>0</v>
      </c>
      <c r="O23" s="388">
        <f t="shared" si="7"/>
        <v>0</v>
      </c>
      <c r="P23" s="388">
        <f t="shared" si="8"/>
        <v>513648</v>
      </c>
      <c r="Q23" s="532">
        <f t="shared" si="9"/>
        <v>14580040</v>
      </c>
      <c r="R23" s="658">
        <f t="shared" si="10"/>
        <v>0.59998663407927899</v>
      </c>
      <c r="S23" s="532">
        <v>62845.068965517239</v>
      </c>
      <c r="T23" s="532">
        <f t="shared" si="11"/>
        <v>6.8965517239121255E-2</v>
      </c>
      <c r="U23" s="658">
        <f t="shared" si="12"/>
        <v>59.998729249901892</v>
      </c>
      <c r="V23" s="532">
        <v>61983</v>
      </c>
      <c r="W23" s="532">
        <f t="shared" si="13"/>
        <v>59.9986634079279</v>
      </c>
      <c r="X23" s="532">
        <f t="shared" si="14"/>
        <v>862</v>
      </c>
      <c r="Y23" s="532">
        <f t="shared" si="15"/>
        <v>62845</v>
      </c>
      <c r="Z23" s="532">
        <f t="shared" si="16"/>
        <v>0</v>
      </c>
      <c r="AA23" s="532"/>
      <c r="AB23" s="532"/>
      <c r="AC23" s="658">
        <f t="shared" si="17"/>
        <v>1458.0039999999999</v>
      </c>
      <c r="AD23" s="532"/>
      <c r="AE23" s="532">
        <f>G23+'enrolment vs availed_UPY'!G23</f>
        <v>151979</v>
      </c>
      <c r="AF23" s="532"/>
      <c r="AG23" s="532"/>
      <c r="AH23" s="532"/>
      <c r="AI23" s="532"/>
      <c r="AJ23" s="532"/>
      <c r="AK23" s="532"/>
      <c r="AL23" s="536">
        <v>74887</v>
      </c>
      <c r="AM23" s="388">
        <f t="shared" si="18"/>
        <v>74059.653873100135</v>
      </c>
      <c r="AN23" s="532">
        <v>0</v>
      </c>
      <c r="AO23" s="532">
        <f t="shared" si="21"/>
        <v>0</v>
      </c>
      <c r="AP23" s="299">
        <v>2239</v>
      </c>
      <c r="AQ23" s="548">
        <f t="shared" si="19"/>
        <v>2214.2611139963647</v>
      </c>
      <c r="AR23" s="547"/>
      <c r="AS23" s="534">
        <f t="shared" si="20"/>
        <v>151185.65387310012</v>
      </c>
      <c r="AT23" s="546"/>
      <c r="AU23" s="546"/>
    </row>
    <row r="24" spans="1:47" s="377" customFormat="1" ht="20.25">
      <c r="A24" s="376">
        <v>14</v>
      </c>
      <c r="B24" s="409" t="s">
        <v>902</v>
      </c>
      <c r="C24" s="410">
        <v>135663</v>
      </c>
      <c r="D24" s="410">
        <v>0</v>
      </c>
      <c r="E24" s="410">
        <v>0</v>
      </c>
      <c r="F24" s="410">
        <v>451</v>
      </c>
      <c r="G24" s="411">
        <f t="shared" si="2"/>
        <v>136114</v>
      </c>
      <c r="H24" s="553">
        <v>109892</v>
      </c>
      <c r="I24" s="388">
        <f t="shared" si="3"/>
        <v>0</v>
      </c>
      <c r="J24" s="388">
        <v>0</v>
      </c>
      <c r="K24" s="553">
        <v>328</v>
      </c>
      <c r="L24" s="534">
        <f t="shared" si="4"/>
        <v>110220</v>
      </c>
      <c r="M24" s="388">
        <f t="shared" si="5"/>
        <v>25494944</v>
      </c>
      <c r="N24" s="388">
        <f t="shared" si="6"/>
        <v>0</v>
      </c>
      <c r="O24" s="388">
        <f t="shared" si="7"/>
        <v>0</v>
      </c>
      <c r="P24" s="388">
        <f t="shared" si="8"/>
        <v>76096</v>
      </c>
      <c r="Q24" s="532">
        <f t="shared" si="9"/>
        <v>25571040</v>
      </c>
      <c r="R24" s="658">
        <f t="shared" si="10"/>
        <v>0.8097624050428317</v>
      </c>
      <c r="S24" s="532">
        <v>110220</v>
      </c>
      <c r="T24" s="532">
        <f t="shared" si="11"/>
        <v>0</v>
      </c>
      <c r="U24" s="658">
        <f t="shared" si="12"/>
        <v>80.976240504283169</v>
      </c>
      <c r="V24" s="532">
        <v>110220</v>
      </c>
      <c r="W24" s="532">
        <f t="shared" si="13"/>
        <v>80.976240504283169</v>
      </c>
      <c r="X24" s="532">
        <f t="shared" si="14"/>
        <v>0</v>
      </c>
      <c r="Y24" s="532">
        <f t="shared" si="15"/>
        <v>110220</v>
      </c>
      <c r="Z24" s="532">
        <f t="shared" si="16"/>
        <v>0</v>
      </c>
      <c r="AA24" s="532"/>
      <c r="AB24" s="532"/>
      <c r="AC24" s="658">
        <f t="shared" si="17"/>
        <v>2557.1039999999998</v>
      </c>
      <c r="AD24" s="532"/>
      <c r="AE24" s="532">
        <f>G24+'enrolment vs availed_UPY'!G24</f>
        <v>213946</v>
      </c>
      <c r="AF24" s="532"/>
      <c r="AG24" s="532"/>
      <c r="AH24" s="532"/>
      <c r="AI24" s="532"/>
      <c r="AJ24" s="532"/>
      <c r="AK24" s="532"/>
      <c r="AL24" s="536">
        <v>99893</v>
      </c>
      <c r="AM24" s="388">
        <f t="shared" si="18"/>
        <v>98789.389404644229</v>
      </c>
      <c r="AN24" s="532">
        <v>0</v>
      </c>
      <c r="AO24" s="532">
        <f t="shared" si="21"/>
        <v>0</v>
      </c>
      <c r="AP24" s="299">
        <v>332</v>
      </c>
      <c r="AQ24" s="548">
        <f t="shared" si="19"/>
        <v>328.33170605037651</v>
      </c>
      <c r="AR24" s="547"/>
      <c r="AS24" s="534">
        <f t="shared" si="20"/>
        <v>199014.38940464423</v>
      </c>
      <c r="AT24" s="546"/>
      <c r="AU24" s="546"/>
    </row>
    <row r="25" spans="1:47" s="377" customFormat="1" ht="20.25">
      <c r="A25" s="376">
        <v>15</v>
      </c>
      <c r="B25" s="409" t="s">
        <v>903</v>
      </c>
      <c r="C25" s="410">
        <v>89085</v>
      </c>
      <c r="D25" s="410">
        <v>0</v>
      </c>
      <c r="E25" s="410">
        <v>0</v>
      </c>
      <c r="F25" s="410">
        <v>23</v>
      </c>
      <c r="G25" s="411">
        <f t="shared" si="2"/>
        <v>89108</v>
      </c>
      <c r="H25" s="553">
        <v>66904</v>
      </c>
      <c r="I25" s="388">
        <f t="shared" si="3"/>
        <v>0</v>
      </c>
      <c r="J25" s="388">
        <v>0</v>
      </c>
      <c r="K25" s="553">
        <v>17</v>
      </c>
      <c r="L25" s="534">
        <f t="shared" si="4"/>
        <v>66921</v>
      </c>
      <c r="M25" s="388">
        <f t="shared" si="5"/>
        <v>15521728</v>
      </c>
      <c r="N25" s="388">
        <f t="shared" si="6"/>
        <v>0</v>
      </c>
      <c r="O25" s="388">
        <f t="shared" si="7"/>
        <v>0</v>
      </c>
      <c r="P25" s="388">
        <f t="shared" si="8"/>
        <v>3944</v>
      </c>
      <c r="Q25" s="532">
        <f t="shared" si="9"/>
        <v>15525672</v>
      </c>
      <c r="R25" s="658">
        <f t="shared" si="10"/>
        <v>0.75101001032454995</v>
      </c>
      <c r="S25" s="532">
        <v>66920.68965517242</v>
      </c>
      <c r="T25" s="532">
        <f t="shared" si="11"/>
        <v>-0.31034482757968362</v>
      </c>
      <c r="U25" s="658">
        <f t="shared" si="12"/>
        <v>75.100652753032747</v>
      </c>
      <c r="V25" s="532">
        <v>58300</v>
      </c>
      <c r="W25" s="532">
        <f t="shared" si="13"/>
        <v>75.101001032454988</v>
      </c>
      <c r="X25" s="532">
        <f t="shared" si="14"/>
        <v>8621</v>
      </c>
      <c r="Y25" s="532">
        <f t="shared" si="15"/>
        <v>66921</v>
      </c>
      <c r="Z25" s="532">
        <f t="shared" si="16"/>
        <v>0</v>
      </c>
      <c r="AA25" s="532"/>
      <c r="AB25" s="532"/>
      <c r="AC25" s="658">
        <f t="shared" si="17"/>
        <v>1552.5672</v>
      </c>
      <c r="AD25" s="532"/>
      <c r="AE25" s="532">
        <f>G25+'enrolment vs availed_UPY'!G25</f>
        <v>143860</v>
      </c>
      <c r="AF25" s="532"/>
      <c r="AG25" s="532"/>
      <c r="AH25" s="532"/>
      <c r="AI25" s="532"/>
      <c r="AJ25" s="532"/>
      <c r="AK25" s="532"/>
      <c r="AL25" s="536">
        <v>65596</v>
      </c>
      <c r="AM25" s="388">
        <f t="shared" si="18"/>
        <v>64871.300165047025</v>
      </c>
      <c r="AN25" s="532">
        <v>0</v>
      </c>
      <c r="AO25" s="532">
        <f t="shared" si="21"/>
        <v>0</v>
      </c>
      <c r="AP25" s="299">
        <v>17</v>
      </c>
      <c r="AQ25" s="548">
        <f t="shared" si="19"/>
        <v>16.81216567125422</v>
      </c>
      <c r="AR25" s="547"/>
      <c r="AS25" s="534">
        <f t="shared" si="20"/>
        <v>130484.30016504703</v>
      </c>
      <c r="AT25" s="546"/>
      <c r="AU25" s="546"/>
    </row>
    <row r="26" spans="1:47" s="377" customFormat="1" ht="20.25">
      <c r="A26" s="376">
        <v>16</v>
      </c>
      <c r="B26" s="409" t="s">
        <v>904</v>
      </c>
      <c r="C26" s="410">
        <v>73978</v>
      </c>
      <c r="D26" s="410">
        <v>0</v>
      </c>
      <c r="E26" s="410">
        <v>0</v>
      </c>
      <c r="F26" s="410">
        <v>1040</v>
      </c>
      <c r="G26" s="411">
        <f t="shared" si="2"/>
        <v>75018</v>
      </c>
      <c r="H26" s="553">
        <v>63780</v>
      </c>
      <c r="I26" s="388">
        <f t="shared" si="3"/>
        <v>0</v>
      </c>
      <c r="J26" s="388">
        <v>0</v>
      </c>
      <c r="K26" s="553">
        <v>758</v>
      </c>
      <c r="L26" s="534">
        <f t="shared" si="4"/>
        <v>64538</v>
      </c>
      <c r="M26" s="388">
        <f t="shared" si="5"/>
        <v>14796960</v>
      </c>
      <c r="N26" s="388">
        <f t="shared" si="6"/>
        <v>0</v>
      </c>
      <c r="O26" s="388">
        <f t="shared" si="7"/>
        <v>0</v>
      </c>
      <c r="P26" s="388">
        <f t="shared" si="8"/>
        <v>175856</v>
      </c>
      <c r="Q26" s="532">
        <f t="shared" si="9"/>
        <v>14972816</v>
      </c>
      <c r="R26" s="658">
        <f t="shared" si="10"/>
        <v>0.86030019461995788</v>
      </c>
      <c r="S26" s="532">
        <v>64538.172413793109</v>
      </c>
      <c r="T26" s="532">
        <f t="shared" si="11"/>
        <v>0.17241379310871707</v>
      </c>
      <c r="U26" s="658">
        <f t="shared" si="12"/>
        <v>86.030249291894094</v>
      </c>
      <c r="V26" s="532">
        <v>76133</v>
      </c>
      <c r="W26" s="532">
        <f t="shared" si="13"/>
        <v>86.030019461995792</v>
      </c>
      <c r="X26" s="532">
        <f t="shared" si="14"/>
        <v>-11595</v>
      </c>
      <c r="Y26" s="532">
        <f t="shared" si="15"/>
        <v>64538</v>
      </c>
      <c r="Z26" s="532">
        <f t="shared" si="16"/>
        <v>0</v>
      </c>
      <c r="AA26" s="532"/>
      <c r="AB26" s="532"/>
      <c r="AC26" s="658">
        <f t="shared" si="17"/>
        <v>1497.2816</v>
      </c>
      <c r="AD26" s="532"/>
      <c r="AE26" s="532">
        <f>G26+'enrolment vs availed_UPY'!G26</f>
        <v>123216</v>
      </c>
      <c r="AF26" s="532"/>
      <c r="AG26" s="532"/>
      <c r="AH26" s="532"/>
      <c r="AI26" s="532"/>
      <c r="AJ26" s="532"/>
      <c r="AK26" s="532"/>
      <c r="AL26" s="536">
        <v>54472</v>
      </c>
      <c r="AM26" s="388">
        <f t="shared" si="18"/>
        <v>53870.197307616952</v>
      </c>
      <c r="AN26" s="532">
        <v>0</v>
      </c>
      <c r="AO26" s="532">
        <f t="shared" si="21"/>
        <v>0</v>
      </c>
      <c r="AP26" s="299">
        <v>766</v>
      </c>
      <c r="AQ26" s="548">
        <f t="shared" si="19"/>
        <v>757.53640612827837</v>
      </c>
      <c r="AR26" s="547"/>
      <c r="AS26" s="534">
        <f t="shared" si="20"/>
        <v>109108.19730761695</v>
      </c>
      <c r="AT26" s="546"/>
      <c r="AU26" s="546"/>
    </row>
    <row r="27" spans="1:47" s="377" customFormat="1" ht="20.25">
      <c r="A27" s="376">
        <v>17</v>
      </c>
      <c r="B27" s="409" t="s">
        <v>905</v>
      </c>
      <c r="C27" s="412">
        <v>202781</v>
      </c>
      <c r="D27" s="410">
        <v>0</v>
      </c>
      <c r="E27" s="412">
        <v>0</v>
      </c>
      <c r="F27" s="412">
        <v>4023</v>
      </c>
      <c r="G27" s="411">
        <f t="shared" si="2"/>
        <v>206804</v>
      </c>
      <c r="H27" s="553">
        <v>146301</v>
      </c>
      <c r="I27" s="388">
        <f t="shared" si="3"/>
        <v>0</v>
      </c>
      <c r="J27" s="388">
        <v>0</v>
      </c>
      <c r="K27" s="553">
        <v>2929</v>
      </c>
      <c r="L27" s="534">
        <f t="shared" si="4"/>
        <v>149230</v>
      </c>
      <c r="M27" s="388">
        <f t="shared" si="5"/>
        <v>33941832</v>
      </c>
      <c r="N27" s="388">
        <f t="shared" si="6"/>
        <v>0</v>
      </c>
      <c r="O27" s="388">
        <f t="shared" si="7"/>
        <v>0</v>
      </c>
      <c r="P27" s="388">
        <f t="shared" si="8"/>
        <v>679528</v>
      </c>
      <c r="Q27" s="532">
        <f t="shared" si="9"/>
        <v>34621360</v>
      </c>
      <c r="R27" s="658">
        <f t="shared" si="10"/>
        <v>0.72160112957196187</v>
      </c>
      <c r="S27" s="532">
        <v>149230</v>
      </c>
      <c r="T27" s="532">
        <f t="shared" si="11"/>
        <v>0</v>
      </c>
      <c r="U27" s="658">
        <f t="shared" si="12"/>
        <v>72.160112957196191</v>
      </c>
      <c r="V27" s="532">
        <v>149230</v>
      </c>
      <c r="W27" s="532">
        <f t="shared" si="13"/>
        <v>72.160112957196191</v>
      </c>
      <c r="X27" s="532">
        <f t="shared" si="14"/>
        <v>0</v>
      </c>
      <c r="Y27" s="532">
        <f t="shared" si="15"/>
        <v>149230</v>
      </c>
      <c r="Z27" s="532">
        <f t="shared" si="16"/>
        <v>0</v>
      </c>
      <c r="AA27" s="532"/>
      <c r="AB27" s="532"/>
      <c r="AC27" s="658">
        <f t="shared" si="17"/>
        <v>3462.136</v>
      </c>
      <c r="AD27" s="532"/>
      <c r="AE27" s="532">
        <f>G27+'enrolment vs availed_UPY'!G27</f>
        <v>315114</v>
      </c>
      <c r="AF27" s="532"/>
      <c r="AG27" s="532"/>
      <c r="AH27" s="532"/>
      <c r="AI27" s="532"/>
      <c r="AJ27" s="532"/>
      <c r="AK27" s="532"/>
      <c r="AL27" s="536">
        <v>149314</v>
      </c>
      <c r="AM27" s="388">
        <f t="shared" si="18"/>
        <v>147664.3897927287</v>
      </c>
      <c r="AN27" s="532">
        <v>0</v>
      </c>
      <c r="AO27" s="532">
        <f t="shared" si="21"/>
        <v>0</v>
      </c>
      <c r="AP27" s="299">
        <v>2962</v>
      </c>
      <c r="AQ27" s="548">
        <f t="shared" si="19"/>
        <v>2929.2726304855883</v>
      </c>
      <c r="AR27" s="547"/>
      <c r="AS27" s="534">
        <f t="shared" si="20"/>
        <v>299940.3897927287</v>
      </c>
      <c r="AT27" s="546"/>
      <c r="AU27" s="546"/>
    </row>
    <row r="28" spans="1:47" s="377" customFormat="1" ht="20.25">
      <c r="A28" s="376">
        <v>18</v>
      </c>
      <c r="B28" s="409" t="s">
        <v>906</v>
      </c>
      <c r="C28" s="410">
        <v>64291</v>
      </c>
      <c r="D28" s="410">
        <v>0</v>
      </c>
      <c r="E28" s="410">
        <v>0</v>
      </c>
      <c r="F28" s="410">
        <v>4843</v>
      </c>
      <c r="G28" s="411">
        <f t="shared" si="2"/>
        <v>69134</v>
      </c>
      <c r="H28" s="553">
        <v>55359</v>
      </c>
      <c r="I28" s="388">
        <f t="shared" si="3"/>
        <v>0</v>
      </c>
      <c r="J28" s="388">
        <v>0</v>
      </c>
      <c r="K28" s="553">
        <v>3527</v>
      </c>
      <c r="L28" s="534">
        <f t="shared" si="4"/>
        <v>58886</v>
      </c>
      <c r="M28" s="388">
        <f t="shared" si="5"/>
        <v>12843288</v>
      </c>
      <c r="N28" s="388">
        <f t="shared" si="6"/>
        <v>0</v>
      </c>
      <c r="O28" s="388">
        <f t="shared" si="7"/>
        <v>0</v>
      </c>
      <c r="P28" s="388">
        <f t="shared" si="8"/>
        <v>818264</v>
      </c>
      <c r="Q28" s="532">
        <f t="shared" si="9"/>
        <v>13661552</v>
      </c>
      <c r="R28" s="658">
        <f t="shared" si="10"/>
        <v>0.85176613533138545</v>
      </c>
      <c r="S28" s="532">
        <v>58886</v>
      </c>
      <c r="T28" s="532">
        <f t="shared" si="11"/>
        <v>0</v>
      </c>
      <c r="U28" s="658">
        <f t="shared" si="12"/>
        <v>85.17661353313855</v>
      </c>
      <c r="V28" s="532">
        <v>58886</v>
      </c>
      <c r="W28" s="532">
        <f t="shared" si="13"/>
        <v>85.17661353313855</v>
      </c>
      <c r="X28" s="532">
        <f t="shared" si="14"/>
        <v>0</v>
      </c>
      <c r="Y28" s="532">
        <f t="shared" si="15"/>
        <v>58886</v>
      </c>
      <c r="Z28" s="532">
        <f t="shared" si="16"/>
        <v>0</v>
      </c>
      <c r="AA28" s="532"/>
      <c r="AB28" s="532"/>
      <c r="AC28" s="658">
        <f t="shared" si="17"/>
        <v>1366.1551999999999</v>
      </c>
      <c r="AD28" s="532"/>
      <c r="AE28" s="532">
        <f>G28+'enrolment vs availed_UPY'!G28</f>
        <v>96122</v>
      </c>
      <c r="AF28" s="532"/>
      <c r="AG28" s="532"/>
      <c r="AH28" s="532"/>
      <c r="AI28" s="532"/>
      <c r="AJ28" s="532"/>
      <c r="AK28" s="532"/>
      <c r="AL28" s="536">
        <v>47339</v>
      </c>
      <c r="AM28" s="388">
        <f t="shared" si="18"/>
        <v>46816.0021725892</v>
      </c>
      <c r="AN28" s="532">
        <v>0</v>
      </c>
      <c r="AO28" s="532">
        <f t="shared" si="21"/>
        <v>0</v>
      </c>
      <c r="AP28" s="299">
        <v>3566</v>
      </c>
      <c r="AQ28" s="548">
        <f t="shared" si="19"/>
        <v>3526.5989872760324</v>
      </c>
      <c r="AR28" s="547"/>
      <c r="AS28" s="534">
        <f t="shared" si="20"/>
        <v>97721.0021725892</v>
      </c>
      <c r="AT28" s="546"/>
      <c r="AU28" s="546"/>
    </row>
    <row r="29" spans="1:47" s="377" customFormat="1" ht="20.25">
      <c r="A29" s="376">
        <v>19</v>
      </c>
      <c r="B29" s="409" t="s">
        <v>907</v>
      </c>
      <c r="C29" s="410">
        <v>136152</v>
      </c>
      <c r="D29" s="410">
        <v>0</v>
      </c>
      <c r="E29" s="410">
        <v>0</v>
      </c>
      <c r="F29" s="410">
        <v>1363</v>
      </c>
      <c r="G29" s="411">
        <f t="shared" si="2"/>
        <v>137515</v>
      </c>
      <c r="H29" s="553">
        <v>89238</v>
      </c>
      <c r="I29" s="388">
        <f t="shared" si="3"/>
        <v>0</v>
      </c>
      <c r="J29" s="388">
        <v>0</v>
      </c>
      <c r="K29" s="553">
        <v>993</v>
      </c>
      <c r="L29" s="534">
        <f t="shared" si="4"/>
        <v>90231</v>
      </c>
      <c r="M29" s="388">
        <f t="shared" si="5"/>
        <v>20703216</v>
      </c>
      <c r="N29" s="388">
        <f t="shared" si="6"/>
        <v>0</v>
      </c>
      <c r="O29" s="388">
        <f t="shared" si="7"/>
        <v>0</v>
      </c>
      <c r="P29" s="388">
        <f t="shared" si="8"/>
        <v>230376</v>
      </c>
      <c r="Q29" s="532">
        <f t="shared" si="9"/>
        <v>20933592</v>
      </c>
      <c r="R29" s="658">
        <f t="shared" si="10"/>
        <v>0.656153874122823</v>
      </c>
      <c r="S29" s="532">
        <v>90230.999999999985</v>
      </c>
      <c r="T29" s="532">
        <f t="shared" si="11"/>
        <v>0</v>
      </c>
      <c r="U29" s="658">
        <f t="shared" si="12"/>
        <v>65.615387412282288</v>
      </c>
      <c r="V29" s="532">
        <v>90231</v>
      </c>
      <c r="W29" s="532">
        <f t="shared" si="13"/>
        <v>65.615387412282303</v>
      </c>
      <c r="X29" s="532">
        <f t="shared" si="14"/>
        <v>0</v>
      </c>
      <c r="Y29" s="532">
        <f t="shared" si="15"/>
        <v>90231</v>
      </c>
      <c r="Z29" s="532">
        <f t="shared" si="16"/>
        <v>0</v>
      </c>
      <c r="AA29" s="532"/>
      <c r="AB29" s="532"/>
      <c r="AC29" s="658">
        <f t="shared" si="17"/>
        <v>2093.3591999999999</v>
      </c>
      <c r="AD29" s="532"/>
      <c r="AE29" s="532">
        <f>G29+'enrolment vs availed_UPY'!G29</f>
        <v>204589</v>
      </c>
      <c r="AF29" s="532"/>
      <c r="AG29" s="532"/>
      <c r="AH29" s="532"/>
      <c r="AI29" s="532"/>
      <c r="AJ29" s="532"/>
      <c r="AK29" s="532"/>
      <c r="AL29" s="536">
        <v>100253</v>
      </c>
      <c r="AM29" s="388">
        <f t="shared" si="18"/>
        <v>99145.412150839373</v>
      </c>
      <c r="AN29" s="532">
        <v>0</v>
      </c>
      <c r="AO29" s="532">
        <f t="shared" si="21"/>
        <v>0</v>
      </c>
      <c r="AP29" s="299">
        <v>1004</v>
      </c>
      <c r="AQ29" s="548">
        <f t="shared" si="19"/>
        <v>992.90672552583749</v>
      </c>
      <c r="AR29" s="547"/>
      <c r="AS29" s="534">
        <f t="shared" si="20"/>
        <v>200402.41215083937</v>
      </c>
      <c r="AT29" s="546"/>
      <c r="AU29" s="546"/>
    </row>
    <row r="30" spans="1:47" s="377" customFormat="1" ht="20.25">
      <c r="A30" s="376">
        <v>20</v>
      </c>
      <c r="B30" s="409" t="s">
        <v>908</v>
      </c>
      <c r="C30" s="410">
        <v>100595</v>
      </c>
      <c r="D30" s="410">
        <v>0</v>
      </c>
      <c r="E30" s="410">
        <v>235</v>
      </c>
      <c r="F30" s="410">
        <v>2318</v>
      </c>
      <c r="G30" s="411">
        <f t="shared" si="2"/>
        <v>103148</v>
      </c>
      <c r="H30" s="553">
        <v>73803</v>
      </c>
      <c r="I30" s="388">
        <f t="shared" si="3"/>
        <v>0</v>
      </c>
      <c r="J30" s="388">
        <v>173</v>
      </c>
      <c r="K30" s="553">
        <v>1688</v>
      </c>
      <c r="L30" s="534">
        <f t="shared" si="4"/>
        <v>75664</v>
      </c>
      <c r="M30" s="388">
        <f t="shared" si="5"/>
        <v>17122296</v>
      </c>
      <c r="N30" s="388">
        <f t="shared" si="6"/>
        <v>0</v>
      </c>
      <c r="O30" s="388">
        <f t="shared" si="7"/>
        <v>40136</v>
      </c>
      <c r="P30" s="388">
        <f t="shared" si="8"/>
        <v>391616</v>
      </c>
      <c r="Q30" s="532">
        <f t="shared" si="9"/>
        <v>17554048</v>
      </c>
      <c r="R30" s="658">
        <f t="shared" si="10"/>
        <v>0.73354791173847289</v>
      </c>
      <c r="S30" s="532">
        <v>75664.034482758623</v>
      </c>
      <c r="T30" s="532">
        <f t="shared" si="11"/>
        <v>3.4482758623198606E-2</v>
      </c>
      <c r="U30" s="658">
        <f t="shared" si="12"/>
        <v>73.354824604217853</v>
      </c>
      <c r="V30" s="532">
        <v>75233</v>
      </c>
      <c r="W30" s="532">
        <f t="shared" si="13"/>
        <v>73.354791173847289</v>
      </c>
      <c r="X30" s="532">
        <f t="shared" si="14"/>
        <v>431</v>
      </c>
      <c r="Y30" s="532">
        <f t="shared" si="15"/>
        <v>75491</v>
      </c>
      <c r="Z30" s="532">
        <f t="shared" si="16"/>
        <v>173</v>
      </c>
      <c r="AA30" s="532"/>
      <c r="AB30" s="532"/>
      <c r="AC30" s="658">
        <f t="shared" si="17"/>
        <v>1755.4048</v>
      </c>
      <c r="AD30" s="532"/>
      <c r="AE30" s="532">
        <f>G30+'enrolment vs availed_UPY'!G30</f>
        <v>156512</v>
      </c>
      <c r="AF30" s="532"/>
      <c r="AG30" s="532"/>
      <c r="AH30" s="532"/>
      <c r="AI30" s="532"/>
      <c r="AJ30" s="532"/>
      <c r="AK30" s="532"/>
      <c r="AL30" s="536">
        <v>74071</v>
      </c>
      <c r="AM30" s="388">
        <f t="shared" si="18"/>
        <v>73252.668981724477</v>
      </c>
      <c r="AN30" s="532">
        <v>175</v>
      </c>
      <c r="AO30" s="532">
        <f t="shared" si="21"/>
        <v>173.06761458175768</v>
      </c>
      <c r="AP30" s="299">
        <v>1707</v>
      </c>
      <c r="AQ30" s="548">
        <f t="shared" si="19"/>
        <v>1688.1392235782914</v>
      </c>
      <c r="AR30" s="547"/>
      <c r="AS30" s="534">
        <f t="shared" si="20"/>
        <v>149378.73659630623</v>
      </c>
      <c r="AT30" s="546"/>
      <c r="AU30" s="546"/>
    </row>
    <row r="31" spans="1:47" s="377" customFormat="1" ht="20.25">
      <c r="A31" s="376">
        <v>21</v>
      </c>
      <c r="B31" s="409" t="s">
        <v>909</v>
      </c>
      <c r="C31" s="410">
        <v>61726</v>
      </c>
      <c r="D31" s="410">
        <v>0</v>
      </c>
      <c r="E31" s="410">
        <v>0</v>
      </c>
      <c r="F31" s="410">
        <v>1293</v>
      </c>
      <c r="G31" s="411">
        <f t="shared" si="2"/>
        <v>63019</v>
      </c>
      <c r="H31" s="553">
        <v>49795</v>
      </c>
      <c r="I31" s="388">
        <f t="shared" si="3"/>
        <v>0</v>
      </c>
      <c r="J31" s="388">
        <v>0</v>
      </c>
      <c r="K31" s="553">
        <v>941</v>
      </c>
      <c r="L31" s="534">
        <f t="shared" si="4"/>
        <v>50736</v>
      </c>
      <c r="M31" s="388">
        <f t="shared" si="5"/>
        <v>11552440</v>
      </c>
      <c r="N31" s="388">
        <f t="shared" si="6"/>
        <v>0</v>
      </c>
      <c r="O31" s="388">
        <f t="shared" si="7"/>
        <v>0</v>
      </c>
      <c r="P31" s="388">
        <f t="shared" si="8"/>
        <v>218312</v>
      </c>
      <c r="Q31" s="532">
        <f t="shared" si="9"/>
        <v>11770752</v>
      </c>
      <c r="R31" s="658">
        <f t="shared" si="10"/>
        <v>0.8050905282533839</v>
      </c>
      <c r="S31" s="532">
        <v>50736.068965517239</v>
      </c>
      <c r="T31" s="532">
        <f t="shared" si="11"/>
        <v>6.8965517239121255E-2</v>
      </c>
      <c r="U31" s="658">
        <f t="shared" si="12"/>
        <v>80.509162261408846</v>
      </c>
      <c r="V31" s="532">
        <v>49874</v>
      </c>
      <c r="W31" s="532">
        <f t="shared" si="13"/>
        <v>80.509052825338387</v>
      </c>
      <c r="X31" s="532">
        <f t="shared" si="14"/>
        <v>862</v>
      </c>
      <c r="Y31" s="532">
        <f t="shared" si="15"/>
        <v>50736</v>
      </c>
      <c r="Z31" s="532">
        <f t="shared" si="16"/>
        <v>0</v>
      </c>
      <c r="AA31" s="532"/>
      <c r="AB31" s="532"/>
      <c r="AC31" s="658">
        <f t="shared" si="17"/>
        <v>1177.0752</v>
      </c>
      <c r="AD31" s="532"/>
      <c r="AE31" s="532">
        <f>G31+'enrolment vs availed_UPY'!G31</f>
        <v>102105</v>
      </c>
      <c r="AF31" s="532"/>
      <c r="AG31" s="532"/>
      <c r="AH31" s="532"/>
      <c r="AI31" s="532"/>
      <c r="AJ31" s="532"/>
      <c r="AK31" s="532"/>
      <c r="AL31" s="536">
        <v>45451</v>
      </c>
      <c r="AM31" s="388">
        <f t="shared" si="18"/>
        <v>44948.860659210201</v>
      </c>
      <c r="AN31" s="532">
        <v>0</v>
      </c>
      <c r="AO31" s="532">
        <f t="shared" si="21"/>
        <v>0</v>
      </c>
      <c r="AP31" s="299">
        <v>952</v>
      </c>
      <c r="AQ31" s="548">
        <f t="shared" si="19"/>
        <v>941.48127759023635</v>
      </c>
      <c r="AR31" s="547"/>
      <c r="AS31" s="534">
        <f t="shared" si="20"/>
        <v>91351.860659210201</v>
      </c>
      <c r="AT31" s="546"/>
      <c r="AU31" s="546"/>
    </row>
    <row r="32" spans="1:47" s="377" customFormat="1" ht="20.25">
      <c r="A32" s="376">
        <v>22</v>
      </c>
      <c r="B32" s="409" t="s">
        <v>910</v>
      </c>
      <c r="C32" s="410">
        <v>203152</v>
      </c>
      <c r="D32" s="410">
        <v>0</v>
      </c>
      <c r="E32" s="410">
        <v>0</v>
      </c>
      <c r="F32" s="410">
        <v>6754</v>
      </c>
      <c r="G32" s="411">
        <f t="shared" si="2"/>
        <v>209906</v>
      </c>
      <c r="H32" s="553">
        <v>139550</v>
      </c>
      <c r="I32" s="388">
        <f t="shared" si="3"/>
        <v>0</v>
      </c>
      <c r="J32" s="388">
        <v>0</v>
      </c>
      <c r="K32" s="553">
        <v>4918</v>
      </c>
      <c r="L32" s="534">
        <f t="shared" si="4"/>
        <v>144468</v>
      </c>
      <c r="M32" s="388">
        <f t="shared" si="5"/>
        <v>32375600</v>
      </c>
      <c r="N32" s="388">
        <f t="shared" si="6"/>
        <v>0</v>
      </c>
      <c r="O32" s="388">
        <f t="shared" si="7"/>
        <v>0</v>
      </c>
      <c r="P32" s="388">
        <f t="shared" si="8"/>
        <v>1140976</v>
      </c>
      <c r="Q32" s="532">
        <f t="shared" si="9"/>
        <v>33516576</v>
      </c>
      <c r="R32" s="658">
        <f t="shared" si="10"/>
        <v>0.68825093136927962</v>
      </c>
      <c r="S32" s="532">
        <v>144468</v>
      </c>
      <c r="T32" s="532">
        <f t="shared" si="11"/>
        <v>0</v>
      </c>
      <c r="U32" s="658">
        <f t="shared" si="12"/>
        <v>68.825093136927961</v>
      </c>
      <c r="V32" s="532">
        <v>144468</v>
      </c>
      <c r="W32" s="532">
        <f t="shared" si="13"/>
        <v>68.825093136927961</v>
      </c>
      <c r="X32" s="532">
        <f t="shared" si="14"/>
        <v>0</v>
      </c>
      <c r="Y32" s="532">
        <f t="shared" si="15"/>
        <v>144468</v>
      </c>
      <c r="Z32" s="532">
        <f t="shared" si="16"/>
        <v>0</v>
      </c>
      <c r="AA32" s="532"/>
      <c r="AB32" s="532"/>
      <c r="AC32" s="658">
        <f t="shared" si="17"/>
        <v>3351.6576</v>
      </c>
      <c r="AD32" s="532"/>
      <c r="AE32" s="532">
        <f>G32+'enrolment vs availed_UPY'!G32</f>
        <v>310108</v>
      </c>
      <c r="AF32" s="532"/>
      <c r="AG32" s="532"/>
      <c r="AH32" s="532"/>
      <c r="AI32" s="532"/>
      <c r="AJ32" s="532"/>
      <c r="AK32" s="532"/>
      <c r="AL32" s="536">
        <v>149587</v>
      </c>
      <c r="AM32" s="388">
        <f t="shared" si="18"/>
        <v>147934.37370859337</v>
      </c>
      <c r="AN32" s="532">
        <v>0</v>
      </c>
      <c r="AO32" s="532">
        <f t="shared" si="21"/>
        <v>0</v>
      </c>
      <c r="AP32" s="299">
        <v>4973</v>
      </c>
      <c r="AQ32" s="548">
        <f t="shared" si="19"/>
        <v>4918.0529343027783</v>
      </c>
      <c r="AR32" s="547"/>
      <c r="AS32" s="534">
        <f t="shared" si="20"/>
        <v>302494.37370859337</v>
      </c>
      <c r="AT32" s="546"/>
      <c r="AU32" s="546"/>
    </row>
    <row r="33" spans="1:48" s="377" customFormat="1" ht="20.25">
      <c r="A33" s="376">
        <v>23</v>
      </c>
      <c r="B33" s="409" t="s">
        <v>911</v>
      </c>
      <c r="C33" s="410">
        <v>89036</v>
      </c>
      <c r="D33" s="410">
        <v>0</v>
      </c>
      <c r="E33" s="410">
        <v>0</v>
      </c>
      <c r="F33" s="410">
        <v>2037</v>
      </c>
      <c r="G33" s="411">
        <f t="shared" si="2"/>
        <v>91073</v>
      </c>
      <c r="H33" s="553">
        <v>53535</v>
      </c>
      <c r="I33" s="388">
        <f t="shared" si="3"/>
        <v>0</v>
      </c>
      <c r="J33" s="388">
        <v>0</v>
      </c>
      <c r="K33" s="553">
        <v>1483</v>
      </c>
      <c r="L33" s="534">
        <f t="shared" si="4"/>
        <v>55018</v>
      </c>
      <c r="M33" s="388">
        <f t="shared" si="5"/>
        <v>12420120</v>
      </c>
      <c r="N33" s="388">
        <f t="shared" si="6"/>
        <v>0</v>
      </c>
      <c r="O33" s="388">
        <f t="shared" si="7"/>
        <v>0</v>
      </c>
      <c r="P33" s="388">
        <f t="shared" si="8"/>
        <v>344056</v>
      </c>
      <c r="Q33" s="532">
        <f t="shared" si="9"/>
        <v>12764176</v>
      </c>
      <c r="R33" s="658">
        <f t="shared" si="10"/>
        <v>0.60410879184829747</v>
      </c>
      <c r="S33" s="532">
        <v>55018</v>
      </c>
      <c r="T33" s="532">
        <f t="shared" si="11"/>
        <v>0</v>
      </c>
      <c r="U33" s="658">
        <f t="shared" si="12"/>
        <v>60.410879184829746</v>
      </c>
      <c r="V33" s="532">
        <v>55018</v>
      </c>
      <c r="W33" s="532">
        <f t="shared" si="13"/>
        <v>60.410879184829746</v>
      </c>
      <c r="X33" s="532">
        <f t="shared" si="14"/>
        <v>0</v>
      </c>
      <c r="Y33" s="532">
        <f t="shared" si="15"/>
        <v>55018</v>
      </c>
      <c r="Z33" s="532">
        <f t="shared" si="16"/>
        <v>0</v>
      </c>
      <c r="AA33" s="532"/>
      <c r="AB33" s="532"/>
      <c r="AC33" s="658">
        <f t="shared" si="17"/>
        <v>1276.4176</v>
      </c>
      <c r="AD33" s="532"/>
      <c r="AE33" s="532">
        <f>G33+'enrolment vs availed_UPY'!G33</f>
        <v>136103</v>
      </c>
      <c r="AF33" s="532"/>
      <c r="AG33" s="532"/>
      <c r="AH33" s="532"/>
      <c r="AI33" s="532"/>
      <c r="AJ33" s="532"/>
      <c r="AK33" s="532"/>
      <c r="AL33" s="536">
        <v>65560</v>
      </c>
      <c r="AM33" s="388">
        <f t="shared" si="18"/>
        <v>64835.697890427517</v>
      </c>
      <c r="AN33" s="532">
        <v>0</v>
      </c>
      <c r="AO33" s="532">
        <f t="shared" si="21"/>
        <v>0</v>
      </c>
      <c r="AP33" s="299">
        <v>1500</v>
      </c>
      <c r="AQ33" s="548">
        <f t="shared" si="19"/>
        <v>1483.4263827577254</v>
      </c>
      <c r="AR33" s="547"/>
      <c r="AS33" s="534">
        <f t="shared" si="20"/>
        <v>131895.69789042752</v>
      </c>
      <c r="AT33" s="546"/>
      <c r="AU33" s="546"/>
    </row>
    <row r="34" spans="1:48" s="377" customFormat="1" ht="20.25">
      <c r="A34" s="376">
        <v>24</v>
      </c>
      <c r="B34" s="409" t="s">
        <v>912</v>
      </c>
      <c r="C34" s="410">
        <v>67458</v>
      </c>
      <c r="D34" s="410">
        <v>0</v>
      </c>
      <c r="E34" s="410">
        <v>0</v>
      </c>
      <c r="F34" s="410">
        <v>4048</v>
      </c>
      <c r="G34" s="411">
        <f t="shared" si="2"/>
        <v>71506</v>
      </c>
      <c r="H34" s="553">
        <v>42788</v>
      </c>
      <c r="I34" s="388">
        <f t="shared" si="3"/>
        <v>0</v>
      </c>
      <c r="J34" s="388">
        <v>0</v>
      </c>
      <c r="K34" s="553">
        <v>2948</v>
      </c>
      <c r="L34" s="534">
        <f t="shared" si="4"/>
        <v>45736</v>
      </c>
      <c r="M34" s="388">
        <f t="shared" si="5"/>
        <v>9926816</v>
      </c>
      <c r="N34" s="388">
        <f t="shared" si="6"/>
        <v>0</v>
      </c>
      <c r="O34" s="388">
        <f t="shared" si="7"/>
        <v>0</v>
      </c>
      <c r="P34" s="388">
        <f t="shared" si="8"/>
        <v>683936</v>
      </c>
      <c r="Q34" s="532">
        <f t="shared" si="9"/>
        <v>10610752</v>
      </c>
      <c r="R34" s="658">
        <f t="shared" si="10"/>
        <v>0.63961066204234607</v>
      </c>
      <c r="S34" s="532">
        <v>45735.931034482768</v>
      </c>
      <c r="T34" s="532">
        <f t="shared" si="11"/>
        <v>-6.8965517231845297E-2</v>
      </c>
      <c r="U34" s="658">
        <f t="shared" si="12"/>
        <v>63.960969757059225</v>
      </c>
      <c r="V34" s="532">
        <v>46598</v>
      </c>
      <c r="W34" s="532">
        <f t="shared" si="13"/>
        <v>63.961066204234605</v>
      </c>
      <c r="X34" s="532">
        <f t="shared" si="14"/>
        <v>-862</v>
      </c>
      <c r="Y34" s="532">
        <f t="shared" si="15"/>
        <v>45736</v>
      </c>
      <c r="Z34" s="532">
        <f t="shared" si="16"/>
        <v>0</v>
      </c>
      <c r="AA34" s="532"/>
      <c r="AB34" s="532"/>
      <c r="AC34" s="658">
        <f t="shared" si="17"/>
        <v>1061.0752</v>
      </c>
      <c r="AD34" s="532"/>
      <c r="AE34" s="532">
        <f>G34+'enrolment vs availed_UPY'!G34</f>
        <v>110475</v>
      </c>
      <c r="AF34" s="532"/>
      <c r="AG34" s="532"/>
      <c r="AH34" s="532"/>
      <c r="AI34" s="532"/>
      <c r="AJ34" s="532"/>
      <c r="AK34" s="532"/>
      <c r="AL34" s="536">
        <v>49671</v>
      </c>
      <c r="AM34" s="388">
        <f t="shared" si="18"/>
        <v>49122.238406275552</v>
      </c>
      <c r="AN34" s="532">
        <v>0</v>
      </c>
      <c r="AO34" s="532">
        <f t="shared" si="21"/>
        <v>0</v>
      </c>
      <c r="AP34" s="299">
        <v>2981</v>
      </c>
      <c r="AQ34" s="548">
        <f t="shared" si="19"/>
        <v>2948.0626980005195</v>
      </c>
      <c r="AR34" s="547"/>
      <c r="AS34" s="534">
        <f t="shared" si="20"/>
        <v>101774.23840627554</v>
      </c>
      <c r="AT34" s="546"/>
      <c r="AU34" s="546"/>
    </row>
    <row r="35" spans="1:48" s="377" customFormat="1" ht="20.25">
      <c r="A35" s="376">
        <v>25</v>
      </c>
      <c r="B35" s="409" t="s">
        <v>913</v>
      </c>
      <c r="C35" s="410">
        <v>163800</v>
      </c>
      <c r="D35" s="410">
        <v>0</v>
      </c>
      <c r="E35" s="410">
        <v>0</v>
      </c>
      <c r="F35" s="410">
        <v>11052</v>
      </c>
      <c r="G35" s="411">
        <f t="shared" si="2"/>
        <v>174852</v>
      </c>
      <c r="H35" s="553">
        <v>107126</v>
      </c>
      <c r="I35" s="388">
        <f t="shared" si="3"/>
        <v>0</v>
      </c>
      <c r="J35" s="388">
        <v>0</v>
      </c>
      <c r="K35" s="553">
        <v>8048</v>
      </c>
      <c r="L35" s="534">
        <f t="shared" si="4"/>
        <v>115174</v>
      </c>
      <c r="M35" s="388">
        <f t="shared" si="5"/>
        <v>24853232</v>
      </c>
      <c r="N35" s="388">
        <f t="shared" si="6"/>
        <v>0</v>
      </c>
      <c r="O35" s="388">
        <f t="shared" si="7"/>
        <v>0</v>
      </c>
      <c r="P35" s="388">
        <f t="shared" si="8"/>
        <v>1867136</v>
      </c>
      <c r="Q35" s="532">
        <f t="shared" si="9"/>
        <v>26720368</v>
      </c>
      <c r="R35" s="658">
        <f t="shared" si="10"/>
        <v>0.65869420996042372</v>
      </c>
      <c r="S35" s="532">
        <v>115174</v>
      </c>
      <c r="T35" s="532">
        <f t="shared" si="11"/>
        <v>0</v>
      </c>
      <c r="U35" s="658">
        <f t="shared" si="12"/>
        <v>65.869420996042365</v>
      </c>
      <c r="V35" s="532">
        <v>115174</v>
      </c>
      <c r="W35" s="532">
        <f t="shared" si="13"/>
        <v>65.869420996042365</v>
      </c>
      <c r="X35" s="532">
        <f t="shared" si="14"/>
        <v>0</v>
      </c>
      <c r="Y35" s="532">
        <f t="shared" si="15"/>
        <v>115174</v>
      </c>
      <c r="Z35" s="532">
        <f t="shared" si="16"/>
        <v>0</v>
      </c>
      <c r="AA35" s="532"/>
      <c r="AB35" s="532"/>
      <c r="AC35" s="658">
        <f t="shared" si="17"/>
        <v>2672.0367999999999</v>
      </c>
      <c r="AD35" s="532"/>
      <c r="AE35" s="532">
        <f>G35+'enrolment vs availed_UPY'!G35</f>
        <v>276581</v>
      </c>
      <c r="AF35" s="532"/>
      <c r="AG35" s="532"/>
      <c r="AH35" s="532"/>
      <c r="AI35" s="532"/>
      <c r="AJ35" s="532"/>
      <c r="AK35" s="532"/>
      <c r="AL35" s="536">
        <v>120611</v>
      </c>
      <c r="AM35" s="388">
        <f t="shared" si="18"/>
        <v>119278.498448175</v>
      </c>
      <c r="AN35" s="532">
        <v>0</v>
      </c>
      <c r="AO35" s="532">
        <f t="shared" si="21"/>
        <v>0</v>
      </c>
      <c r="AP35" s="299">
        <v>8138</v>
      </c>
      <c r="AQ35" s="548">
        <f t="shared" si="19"/>
        <v>8048.0826019215792</v>
      </c>
      <c r="AR35" s="547"/>
      <c r="AS35" s="534">
        <f t="shared" si="20"/>
        <v>248027.498448175</v>
      </c>
      <c r="AT35" s="546"/>
      <c r="AU35" s="546"/>
    </row>
    <row r="36" spans="1:48" s="377" customFormat="1" ht="20.25">
      <c r="A36" s="376">
        <v>26</v>
      </c>
      <c r="B36" s="409" t="s">
        <v>914</v>
      </c>
      <c r="C36" s="410">
        <v>110481</v>
      </c>
      <c r="D36" s="410">
        <v>0</v>
      </c>
      <c r="E36" s="410">
        <v>0</v>
      </c>
      <c r="F36" s="410">
        <v>1409</v>
      </c>
      <c r="G36" s="411">
        <f t="shared" si="2"/>
        <v>111890</v>
      </c>
      <c r="H36" s="553">
        <v>85716</v>
      </c>
      <c r="I36" s="388">
        <f t="shared" si="3"/>
        <v>0</v>
      </c>
      <c r="J36" s="388">
        <v>0</v>
      </c>
      <c r="K36" s="553">
        <v>1026</v>
      </c>
      <c r="L36" s="534">
        <f t="shared" si="4"/>
        <v>86742</v>
      </c>
      <c r="M36" s="388">
        <f t="shared" si="5"/>
        <v>19886112</v>
      </c>
      <c r="N36" s="388">
        <f t="shared" si="6"/>
        <v>0</v>
      </c>
      <c r="O36" s="388">
        <f t="shared" si="7"/>
        <v>0</v>
      </c>
      <c r="P36" s="388">
        <f t="shared" si="8"/>
        <v>238032</v>
      </c>
      <c r="Q36" s="532">
        <f t="shared" si="9"/>
        <v>20124144</v>
      </c>
      <c r="R36" s="658">
        <f t="shared" si="10"/>
        <v>0.77524354276521579</v>
      </c>
      <c r="S36" s="532">
        <v>86742</v>
      </c>
      <c r="T36" s="532">
        <f t="shared" si="11"/>
        <v>0</v>
      </c>
      <c r="U36" s="658">
        <f t="shared" si="12"/>
        <v>77.524354276521578</v>
      </c>
      <c r="V36" s="532">
        <v>86742</v>
      </c>
      <c r="W36" s="532">
        <f t="shared" si="13"/>
        <v>77.524354276521578</v>
      </c>
      <c r="X36" s="532">
        <f t="shared" si="14"/>
        <v>0</v>
      </c>
      <c r="Y36" s="532">
        <f t="shared" si="15"/>
        <v>86742</v>
      </c>
      <c r="Z36" s="532">
        <f t="shared" si="16"/>
        <v>0</v>
      </c>
      <c r="AA36" s="532"/>
      <c r="AB36" s="532"/>
      <c r="AC36" s="658">
        <f t="shared" si="17"/>
        <v>2012.4143999999999</v>
      </c>
      <c r="AD36" s="532"/>
      <c r="AE36" s="532">
        <f>G36+'enrolment vs availed_UPY'!G36</f>
        <v>189627</v>
      </c>
      <c r="AF36" s="532"/>
      <c r="AG36" s="532"/>
      <c r="AH36" s="532"/>
      <c r="AI36" s="532"/>
      <c r="AJ36" s="532"/>
      <c r="AK36" s="532"/>
      <c r="AL36" s="536">
        <v>81353</v>
      </c>
      <c r="AM36" s="388">
        <f t="shared" si="18"/>
        <v>80454.217975594103</v>
      </c>
      <c r="AN36" s="532">
        <v>0</v>
      </c>
      <c r="AO36" s="532">
        <f t="shared" si="21"/>
        <v>0</v>
      </c>
      <c r="AP36" s="299">
        <v>1037</v>
      </c>
      <c r="AQ36" s="548">
        <f t="shared" si="19"/>
        <v>1025.5421059465075</v>
      </c>
      <c r="AR36" s="547"/>
      <c r="AS36" s="534">
        <f t="shared" si="20"/>
        <v>162844.2179755941</v>
      </c>
      <c r="AT36" s="546"/>
      <c r="AU36" s="546"/>
    </row>
    <row r="37" spans="1:48" s="377" customFormat="1" ht="20.25">
      <c r="A37" s="376">
        <v>27</v>
      </c>
      <c r="B37" s="409" t="s">
        <v>915</v>
      </c>
      <c r="C37" s="410">
        <v>84577</v>
      </c>
      <c r="D37" s="410">
        <v>0</v>
      </c>
      <c r="E37" s="410">
        <v>0</v>
      </c>
      <c r="F37" s="410">
        <v>566</v>
      </c>
      <c r="G37" s="411">
        <f t="shared" si="2"/>
        <v>85143</v>
      </c>
      <c r="H37" s="553">
        <v>68028</v>
      </c>
      <c r="I37" s="388">
        <f t="shared" si="3"/>
        <v>0</v>
      </c>
      <c r="J37" s="388">
        <v>0</v>
      </c>
      <c r="K37" s="553">
        <v>412</v>
      </c>
      <c r="L37" s="534">
        <f t="shared" si="4"/>
        <v>68440</v>
      </c>
      <c r="M37" s="388">
        <f t="shared" si="5"/>
        <v>15782496</v>
      </c>
      <c r="N37" s="388">
        <f t="shared" si="6"/>
        <v>0</v>
      </c>
      <c r="O37" s="388">
        <f t="shared" si="7"/>
        <v>0</v>
      </c>
      <c r="P37" s="388">
        <f t="shared" si="8"/>
        <v>95584</v>
      </c>
      <c r="Q37" s="532">
        <f t="shared" si="9"/>
        <v>15878080</v>
      </c>
      <c r="R37" s="658">
        <f t="shared" si="10"/>
        <v>0.8038241546574586</v>
      </c>
      <c r="S37" s="532">
        <v>68440</v>
      </c>
      <c r="T37" s="532">
        <f t="shared" si="11"/>
        <v>0</v>
      </c>
      <c r="U37" s="658">
        <f t="shared" si="12"/>
        <v>80.382415465745865</v>
      </c>
      <c r="V37" s="532">
        <v>68440</v>
      </c>
      <c r="W37" s="532">
        <f t="shared" si="13"/>
        <v>80.382415465745865</v>
      </c>
      <c r="X37" s="532">
        <f t="shared" si="14"/>
        <v>0</v>
      </c>
      <c r="Y37" s="532">
        <f t="shared" si="15"/>
        <v>68440</v>
      </c>
      <c r="Z37" s="532">
        <f t="shared" si="16"/>
        <v>0</v>
      </c>
      <c r="AA37" s="532"/>
      <c r="AB37" s="532"/>
      <c r="AC37" s="658">
        <f t="shared" si="17"/>
        <v>1587.808</v>
      </c>
      <c r="AD37" s="532"/>
      <c r="AE37" s="532">
        <f>G37+'enrolment vs availed_UPY'!G37</f>
        <v>128989</v>
      </c>
      <c r="AF37" s="532"/>
      <c r="AG37" s="532"/>
      <c r="AH37" s="532"/>
      <c r="AI37" s="532"/>
      <c r="AJ37" s="532"/>
      <c r="AK37" s="532"/>
      <c r="AL37" s="536">
        <v>62277</v>
      </c>
      <c r="AM37" s="388">
        <f t="shared" si="18"/>
        <v>61588.968235542314</v>
      </c>
      <c r="AN37" s="532">
        <v>0</v>
      </c>
      <c r="AO37" s="532">
        <f t="shared" si="21"/>
        <v>0</v>
      </c>
      <c r="AP37" s="299">
        <v>417</v>
      </c>
      <c r="AQ37" s="548">
        <f t="shared" si="19"/>
        <v>412.39253440664766</v>
      </c>
      <c r="AR37" s="547"/>
      <c r="AS37" s="534">
        <f t="shared" si="20"/>
        <v>124282.96823554231</v>
      </c>
      <c r="AT37" s="546"/>
      <c r="AU37" s="546"/>
    </row>
    <row r="38" spans="1:48" s="377" customFormat="1" ht="20.25">
      <c r="A38" s="376">
        <v>28</v>
      </c>
      <c r="B38" s="409" t="s">
        <v>916</v>
      </c>
      <c r="C38" s="410">
        <v>99219</v>
      </c>
      <c r="D38" s="410">
        <v>0</v>
      </c>
      <c r="E38" s="410">
        <v>0</v>
      </c>
      <c r="F38" s="410">
        <v>230</v>
      </c>
      <c r="G38" s="411">
        <f t="shared" si="2"/>
        <v>99449</v>
      </c>
      <c r="H38" s="553">
        <v>64578</v>
      </c>
      <c r="I38" s="388">
        <f t="shared" si="3"/>
        <v>0</v>
      </c>
      <c r="J38" s="388">
        <v>0</v>
      </c>
      <c r="K38" s="553">
        <v>167</v>
      </c>
      <c r="L38" s="534">
        <f t="shared" si="4"/>
        <v>64745</v>
      </c>
      <c r="M38" s="388">
        <f t="shared" si="5"/>
        <v>14982096</v>
      </c>
      <c r="N38" s="388">
        <f t="shared" si="6"/>
        <v>0</v>
      </c>
      <c r="O38" s="388">
        <f t="shared" si="7"/>
        <v>0</v>
      </c>
      <c r="P38" s="388">
        <f t="shared" si="8"/>
        <v>38744</v>
      </c>
      <c r="Q38" s="532">
        <f t="shared" si="9"/>
        <v>15020840</v>
      </c>
      <c r="R38" s="658">
        <f t="shared" si="10"/>
        <v>0.65103721505495282</v>
      </c>
      <c r="S38" s="532">
        <v>64744.758620689645</v>
      </c>
      <c r="T38" s="532">
        <f t="shared" si="11"/>
        <v>-0.24137931035511428</v>
      </c>
      <c r="U38" s="658">
        <f t="shared" si="12"/>
        <v>65.10347878881602</v>
      </c>
      <c r="V38" s="532">
        <v>67762</v>
      </c>
      <c r="W38" s="532">
        <f t="shared" si="13"/>
        <v>65.103721505495287</v>
      </c>
      <c r="X38" s="532">
        <f t="shared" si="14"/>
        <v>-3017</v>
      </c>
      <c r="Y38" s="532">
        <f t="shared" si="15"/>
        <v>64745</v>
      </c>
      <c r="Z38" s="532">
        <f t="shared" si="16"/>
        <v>0</v>
      </c>
      <c r="AA38" s="532"/>
      <c r="AB38" s="532"/>
      <c r="AC38" s="658">
        <f t="shared" si="17"/>
        <v>1502.0840000000001</v>
      </c>
      <c r="AD38" s="532"/>
      <c r="AE38" s="532">
        <f>G38+'enrolment vs availed_UPY'!G38</f>
        <v>157737</v>
      </c>
      <c r="AF38" s="532"/>
      <c r="AG38" s="532"/>
      <c r="AH38" s="532"/>
      <c r="AI38" s="532"/>
      <c r="AJ38" s="532"/>
      <c r="AK38" s="532"/>
      <c r="AL38" s="536">
        <v>73058</v>
      </c>
      <c r="AM38" s="388">
        <f t="shared" si="18"/>
        <v>72250.860532014238</v>
      </c>
      <c r="AN38" s="532">
        <v>0</v>
      </c>
      <c r="AO38" s="532">
        <f t="shared" si="21"/>
        <v>0</v>
      </c>
      <c r="AP38" s="299">
        <v>169</v>
      </c>
      <c r="AQ38" s="548">
        <f t="shared" si="19"/>
        <v>167.13270579070371</v>
      </c>
      <c r="AR38" s="547"/>
      <c r="AS38" s="534">
        <f t="shared" si="20"/>
        <v>145477.86053201422</v>
      </c>
      <c r="AT38" s="546"/>
      <c r="AU38" s="546"/>
    </row>
    <row r="39" spans="1:48" s="377" customFormat="1" ht="20.25">
      <c r="A39" s="376">
        <v>29</v>
      </c>
      <c r="B39" s="409" t="s">
        <v>917</v>
      </c>
      <c r="C39" s="410">
        <v>69306</v>
      </c>
      <c r="D39" s="410">
        <v>0</v>
      </c>
      <c r="E39" s="410">
        <v>0</v>
      </c>
      <c r="F39" s="410">
        <v>7798</v>
      </c>
      <c r="G39" s="411">
        <f t="shared" si="2"/>
        <v>77104</v>
      </c>
      <c r="H39" s="553">
        <v>52959</v>
      </c>
      <c r="I39" s="388">
        <f t="shared" si="3"/>
        <v>0</v>
      </c>
      <c r="J39" s="388">
        <v>0</v>
      </c>
      <c r="K39" s="553">
        <v>5679</v>
      </c>
      <c r="L39" s="534">
        <f t="shared" si="4"/>
        <v>58638</v>
      </c>
      <c r="M39" s="388">
        <f t="shared" si="5"/>
        <v>12286488</v>
      </c>
      <c r="N39" s="388">
        <f t="shared" si="6"/>
        <v>0</v>
      </c>
      <c r="O39" s="388">
        <f t="shared" si="7"/>
        <v>0</v>
      </c>
      <c r="P39" s="388">
        <f t="shared" si="8"/>
        <v>1317528</v>
      </c>
      <c r="Q39" s="532">
        <f t="shared" si="9"/>
        <v>13604016</v>
      </c>
      <c r="R39" s="658">
        <f t="shared" si="10"/>
        <v>0.76050529155426438</v>
      </c>
      <c r="S39" s="532">
        <v>58638</v>
      </c>
      <c r="T39" s="532">
        <f t="shared" si="11"/>
        <v>0</v>
      </c>
      <c r="U39" s="658">
        <f t="shared" si="12"/>
        <v>76.050529155426432</v>
      </c>
      <c r="V39" s="532">
        <v>58638</v>
      </c>
      <c r="W39" s="532">
        <f t="shared" si="13"/>
        <v>76.050529155426432</v>
      </c>
      <c r="X39" s="532">
        <f t="shared" si="14"/>
        <v>0</v>
      </c>
      <c r="Y39" s="532">
        <f t="shared" si="15"/>
        <v>58638</v>
      </c>
      <c r="Z39" s="532">
        <f t="shared" si="16"/>
        <v>0</v>
      </c>
      <c r="AA39" s="532"/>
      <c r="AB39" s="532"/>
      <c r="AC39" s="658">
        <f t="shared" si="17"/>
        <v>1360.4015999999999</v>
      </c>
      <c r="AD39" s="532"/>
      <c r="AE39" s="532">
        <f>G39+'enrolment vs availed_UPY'!G39</f>
        <v>113367</v>
      </c>
      <c r="AF39" s="532"/>
      <c r="AG39" s="532"/>
      <c r="AH39" s="532"/>
      <c r="AI39" s="532"/>
      <c r="AJ39" s="532"/>
      <c r="AK39" s="532"/>
      <c r="AL39" s="536">
        <v>51032</v>
      </c>
      <c r="AM39" s="388">
        <f t="shared" si="18"/>
        <v>50468.202177307765</v>
      </c>
      <c r="AN39" s="532">
        <v>0</v>
      </c>
      <c r="AO39" s="532">
        <f t="shared" si="21"/>
        <v>0</v>
      </c>
      <c r="AP39" s="299">
        <v>5742</v>
      </c>
      <c r="AQ39" s="548">
        <f t="shared" si="19"/>
        <v>5678.5561931965722</v>
      </c>
      <c r="AR39" s="547"/>
      <c r="AS39" s="534">
        <f t="shared" si="20"/>
        <v>107242.20217730777</v>
      </c>
      <c r="AT39" s="546"/>
      <c r="AU39" s="546"/>
    </row>
    <row r="40" spans="1:48" s="377" customFormat="1" ht="20.25">
      <c r="A40" s="376">
        <v>30</v>
      </c>
      <c r="B40" s="409" t="s">
        <v>918</v>
      </c>
      <c r="C40" s="410">
        <v>99156</v>
      </c>
      <c r="D40" s="410">
        <v>0</v>
      </c>
      <c r="E40" s="410">
        <v>0</v>
      </c>
      <c r="F40" s="410">
        <v>2696</v>
      </c>
      <c r="G40" s="411">
        <f t="shared" si="2"/>
        <v>101852</v>
      </c>
      <c r="H40" s="553">
        <v>71405</v>
      </c>
      <c r="I40" s="388">
        <f t="shared" si="3"/>
        <v>0</v>
      </c>
      <c r="J40" s="388">
        <v>0</v>
      </c>
      <c r="K40" s="553">
        <v>1963</v>
      </c>
      <c r="L40" s="534">
        <f t="shared" si="4"/>
        <v>73368</v>
      </c>
      <c r="M40" s="388">
        <f t="shared" si="5"/>
        <v>16565960</v>
      </c>
      <c r="N40" s="388">
        <f t="shared" si="6"/>
        <v>0</v>
      </c>
      <c r="O40" s="388">
        <f t="shared" si="7"/>
        <v>0</v>
      </c>
      <c r="P40" s="388">
        <f t="shared" si="8"/>
        <v>455416</v>
      </c>
      <c r="Q40" s="532">
        <f t="shared" si="9"/>
        <v>17021376</v>
      </c>
      <c r="R40" s="658">
        <f t="shared" si="10"/>
        <v>0.72033931587008604</v>
      </c>
      <c r="S40" s="532">
        <v>73367.68965517242</v>
      </c>
      <c r="T40" s="532">
        <f t="shared" si="11"/>
        <v>-0.31034482757968362</v>
      </c>
      <c r="U40" s="658">
        <f t="shared" si="12"/>
        <v>72.033626885257448</v>
      </c>
      <c r="V40" s="532">
        <v>73497</v>
      </c>
      <c r="W40" s="532">
        <f t="shared" si="13"/>
        <v>72.03393158700861</v>
      </c>
      <c r="X40" s="532">
        <f t="shared" si="14"/>
        <v>-129</v>
      </c>
      <c r="Y40" s="532">
        <f t="shared" si="15"/>
        <v>73368</v>
      </c>
      <c r="Z40" s="532">
        <f t="shared" si="16"/>
        <v>0</v>
      </c>
      <c r="AA40" s="532"/>
      <c r="AB40" s="532"/>
      <c r="AC40" s="658">
        <f t="shared" si="17"/>
        <v>1702.1376</v>
      </c>
      <c r="AD40" s="532"/>
      <c r="AE40" s="532">
        <f>G40+'enrolment vs availed_UPY'!G40</f>
        <v>162794</v>
      </c>
      <c r="AF40" s="532"/>
      <c r="AG40" s="532"/>
      <c r="AH40" s="532"/>
      <c r="AI40" s="532"/>
      <c r="AJ40" s="532"/>
      <c r="AK40" s="532"/>
      <c r="AL40" s="536">
        <v>73012</v>
      </c>
      <c r="AM40" s="388">
        <f t="shared" si="18"/>
        <v>72205.368736667078</v>
      </c>
      <c r="AN40" s="532">
        <v>0</v>
      </c>
      <c r="AO40" s="532">
        <f t="shared" si="21"/>
        <v>0</v>
      </c>
      <c r="AP40" s="299">
        <v>1985</v>
      </c>
      <c r="AQ40" s="548">
        <f t="shared" si="19"/>
        <v>1963.0675798493899</v>
      </c>
      <c r="AR40" s="547"/>
      <c r="AS40" s="534">
        <f t="shared" si="20"/>
        <v>147202.36873666709</v>
      </c>
      <c r="AT40" s="546"/>
      <c r="AU40" s="546"/>
    </row>
    <row r="41" spans="1:48" s="377" customFormat="1" ht="20.25">
      <c r="A41" s="376">
        <v>31</v>
      </c>
      <c r="B41" s="409" t="s">
        <v>919</v>
      </c>
      <c r="C41" s="410">
        <v>76789</v>
      </c>
      <c r="D41" s="410">
        <v>0</v>
      </c>
      <c r="E41" s="410">
        <v>0</v>
      </c>
      <c r="F41" s="410">
        <v>213</v>
      </c>
      <c r="G41" s="411">
        <f t="shared" si="2"/>
        <v>77002</v>
      </c>
      <c r="H41" s="553">
        <v>50909</v>
      </c>
      <c r="I41" s="388">
        <f t="shared" si="3"/>
        <v>0</v>
      </c>
      <c r="J41" s="388">
        <v>0</v>
      </c>
      <c r="K41" s="553">
        <v>157</v>
      </c>
      <c r="L41" s="534">
        <f t="shared" si="4"/>
        <v>51066</v>
      </c>
      <c r="M41" s="388">
        <f t="shared" si="5"/>
        <v>11810888</v>
      </c>
      <c r="N41" s="388">
        <f t="shared" si="6"/>
        <v>0</v>
      </c>
      <c r="O41" s="388">
        <f t="shared" si="7"/>
        <v>0</v>
      </c>
      <c r="P41" s="388">
        <f t="shared" si="8"/>
        <v>36424</v>
      </c>
      <c r="Q41" s="532">
        <f t="shared" si="9"/>
        <v>11847312</v>
      </c>
      <c r="R41" s="658">
        <f t="shared" si="10"/>
        <v>0.66317757980312197</v>
      </c>
      <c r="S41" s="532">
        <v>51066</v>
      </c>
      <c r="T41" s="532">
        <f t="shared" si="11"/>
        <v>0</v>
      </c>
      <c r="U41" s="658">
        <f t="shared" si="12"/>
        <v>66.317757980312194</v>
      </c>
      <c r="V41" s="532">
        <v>51066</v>
      </c>
      <c r="W41" s="532">
        <f t="shared" si="13"/>
        <v>66.317757980312194</v>
      </c>
      <c r="X41" s="532">
        <f t="shared" si="14"/>
        <v>0</v>
      </c>
      <c r="Y41" s="532">
        <f t="shared" si="15"/>
        <v>51066</v>
      </c>
      <c r="Z41" s="532">
        <f t="shared" si="16"/>
        <v>0</v>
      </c>
      <c r="AA41" s="532"/>
      <c r="AB41" s="532"/>
      <c r="AC41" s="658">
        <f t="shared" si="17"/>
        <v>1184.7311999999999</v>
      </c>
      <c r="AD41" s="532"/>
      <c r="AE41" s="532">
        <f>G41+'enrolment vs availed_UPY'!G41</f>
        <v>115337</v>
      </c>
      <c r="AF41" s="532"/>
      <c r="AG41" s="532"/>
      <c r="AH41" s="532"/>
      <c r="AI41" s="532"/>
      <c r="AJ41" s="532"/>
      <c r="AK41" s="532"/>
      <c r="AL41" s="536">
        <v>56542</v>
      </c>
      <c r="AM41" s="388">
        <f t="shared" si="18"/>
        <v>55917.328098239057</v>
      </c>
      <c r="AN41" s="532">
        <v>0</v>
      </c>
      <c r="AO41" s="532">
        <f t="shared" si="21"/>
        <v>0</v>
      </c>
      <c r="AP41" s="299">
        <v>158</v>
      </c>
      <c r="AQ41" s="548">
        <f t="shared" si="19"/>
        <v>156.25424565048041</v>
      </c>
      <c r="AR41" s="547"/>
      <c r="AS41" s="534">
        <f t="shared" si="20"/>
        <v>112617.32809823906</v>
      </c>
      <c r="AT41" s="546"/>
      <c r="AU41" s="546"/>
    </row>
    <row r="42" spans="1:48" s="377" customFormat="1" ht="20.25">
      <c r="A42" s="376">
        <v>32</v>
      </c>
      <c r="B42" s="409" t="s">
        <v>920</v>
      </c>
      <c r="C42" s="410">
        <v>69764</v>
      </c>
      <c r="D42" s="410">
        <v>0</v>
      </c>
      <c r="E42" s="410">
        <v>0</v>
      </c>
      <c r="F42" s="410">
        <v>7993</v>
      </c>
      <c r="G42" s="411">
        <f t="shared" si="2"/>
        <v>77757</v>
      </c>
      <c r="H42" s="553">
        <v>56288</v>
      </c>
      <c r="I42" s="388">
        <f t="shared" si="3"/>
        <v>0</v>
      </c>
      <c r="J42" s="388">
        <v>0</v>
      </c>
      <c r="K42" s="553">
        <v>5820</v>
      </c>
      <c r="L42" s="534">
        <f t="shared" si="4"/>
        <v>62108</v>
      </c>
      <c r="M42" s="388">
        <f t="shared" si="5"/>
        <v>13058816</v>
      </c>
      <c r="N42" s="388">
        <f t="shared" si="6"/>
        <v>0</v>
      </c>
      <c r="O42" s="388">
        <f t="shared" si="7"/>
        <v>0</v>
      </c>
      <c r="P42" s="388">
        <f t="shared" si="8"/>
        <v>1350240</v>
      </c>
      <c r="Q42" s="532">
        <f t="shared" si="9"/>
        <v>14409056</v>
      </c>
      <c r="R42" s="658">
        <f t="shared" si="10"/>
        <v>0.79874480754144317</v>
      </c>
      <c r="S42" s="532">
        <v>62108</v>
      </c>
      <c r="T42" s="532">
        <f t="shared" si="11"/>
        <v>0</v>
      </c>
      <c r="U42" s="658">
        <f t="shared" si="12"/>
        <v>79.874480754144315</v>
      </c>
      <c r="V42" s="532">
        <v>62108</v>
      </c>
      <c r="W42" s="532">
        <f t="shared" si="13"/>
        <v>79.874480754144315</v>
      </c>
      <c r="X42" s="532">
        <f t="shared" si="14"/>
        <v>0</v>
      </c>
      <c r="Y42" s="532">
        <f t="shared" si="15"/>
        <v>62108</v>
      </c>
      <c r="Z42" s="532">
        <f t="shared" si="16"/>
        <v>0</v>
      </c>
      <c r="AA42" s="532"/>
      <c r="AB42" s="532"/>
      <c r="AC42" s="658">
        <f t="shared" si="17"/>
        <v>1440.9056</v>
      </c>
      <c r="AD42" s="532"/>
      <c r="AE42" s="532">
        <f>G42+'enrolment vs availed_UPY'!G42</f>
        <v>118535</v>
      </c>
      <c r="AF42" s="532"/>
      <c r="AG42" s="532"/>
      <c r="AH42" s="532"/>
      <c r="AI42" s="532"/>
      <c r="AJ42" s="532"/>
      <c r="AK42" s="532"/>
      <c r="AL42" s="536">
        <v>51369</v>
      </c>
      <c r="AM42" s="388">
        <f t="shared" si="18"/>
        <v>50801.479025829329</v>
      </c>
      <c r="AN42" s="532">
        <v>0</v>
      </c>
      <c r="AO42" s="532">
        <f t="shared" si="21"/>
        <v>0</v>
      </c>
      <c r="AP42" s="299">
        <v>5885</v>
      </c>
      <c r="AQ42" s="548">
        <f t="shared" si="19"/>
        <v>5819.9761750194757</v>
      </c>
      <c r="AR42" s="547"/>
      <c r="AS42" s="534">
        <f t="shared" si="20"/>
        <v>108055.47902582932</v>
      </c>
      <c r="AT42" s="546"/>
      <c r="AU42" s="546"/>
    </row>
    <row r="43" spans="1:48" ht="20.25">
      <c r="A43" s="376">
        <v>33</v>
      </c>
      <c r="B43" s="409" t="s">
        <v>921</v>
      </c>
      <c r="C43" s="410">
        <v>230298</v>
      </c>
      <c r="D43" s="410">
        <v>0</v>
      </c>
      <c r="E43" s="410">
        <v>15691</v>
      </c>
      <c r="F43" s="410">
        <v>1375</v>
      </c>
      <c r="G43" s="411">
        <f t="shared" si="2"/>
        <v>247364</v>
      </c>
      <c r="H43" s="553">
        <v>143700</v>
      </c>
      <c r="I43" s="388">
        <f t="shared" si="3"/>
        <v>0</v>
      </c>
      <c r="J43" s="388">
        <v>11426</v>
      </c>
      <c r="K43" s="553">
        <v>1001</v>
      </c>
      <c r="L43" s="534">
        <f t="shared" si="4"/>
        <v>156127</v>
      </c>
      <c r="M43" s="388">
        <f t="shared" si="5"/>
        <v>33338400</v>
      </c>
      <c r="N43" s="388">
        <f t="shared" si="6"/>
        <v>0</v>
      </c>
      <c r="O43" s="388">
        <f t="shared" si="7"/>
        <v>2650832</v>
      </c>
      <c r="P43" s="388">
        <f t="shared" si="8"/>
        <v>232232</v>
      </c>
      <c r="Q43" s="532">
        <f t="shared" si="9"/>
        <v>36221464</v>
      </c>
      <c r="R43" s="658">
        <f t="shared" si="10"/>
        <v>0.63116298248734659</v>
      </c>
      <c r="S43" s="532">
        <v>156127.31034482759</v>
      </c>
      <c r="T43" s="532">
        <f t="shared" si="11"/>
        <v>0.31034482759423554</v>
      </c>
      <c r="U43" s="532"/>
      <c r="V43" s="532">
        <v>155998</v>
      </c>
      <c r="W43" s="532">
        <f t="shared" si="13"/>
        <v>63.116298248734658</v>
      </c>
      <c r="X43" s="532">
        <f t="shared" si="14"/>
        <v>129</v>
      </c>
      <c r="Y43" s="532">
        <f t="shared" si="15"/>
        <v>144701</v>
      </c>
      <c r="Z43" s="532">
        <f t="shared" si="16"/>
        <v>11426</v>
      </c>
      <c r="AA43" s="532"/>
      <c r="AB43" s="532"/>
      <c r="AC43" s="532"/>
      <c r="AD43" s="532"/>
      <c r="AE43" s="532">
        <f>G43+'enrolment vs availed_UPY'!G43</f>
        <v>375893</v>
      </c>
      <c r="AF43" s="532"/>
      <c r="AG43" s="532"/>
      <c r="AH43" s="532"/>
      <c r="AI43" s="532"/>
      <c r="AJ43" s="532"/>
      <c r="AK43" s="532"/>
      <c r="AL43" s="536">
        <v>169575</v>
      </c>
      <c r="AM43" s="388">
        <f t="shared" si="18"/>
        <v>167701.5477390062</v>
      </c>
      <c r="AN43" s="532">
        <v>11554</v>
      </c>
      <c r="AO43" s="532">
        <f t="shared" si="21"/>
        <v>11426.418393586448</v>
      </c>
      <c r="AP43" s="299">
        <v>1012</v>
      </c>
      <c r="AQ43" s="548">
        <f t="shared" si="19"/>
        <v>1000.8183329005453</v>
      </c>
      <c r="AR43" s="547"/>
      <c r="AS43" s="534">
        <f t="shared" si="20"/>
        <v>361268.9661325927</v>
      </c>
      <c r="AT43" s="546"/>
      <c r="AU43" s="546"/>
      <c r="AV43" s="453"/>
    </row>
    <row r="44" spans="1:48" ht="20.25">
      <c r="A44" s="20"/>
      <c r="B44" s="413" t="s">
        <v>19</v>
      </c>
      <c r="C44" s="414">
        <v>3971889</v>
      </c>
      <c r="D44" s="414">
        <f t="shared" ref="D44:E44" si="22">SUM(D11:D43)</f>
        <v>0</v>
      </c>
      <c r="E44" s="414">
        <f t="shared" si="22"/>
        <v>26932</v>
      </c>
      <c r="F44" s="414">
        <v>104601</v>
      </c>
      <c r="G44" s="414">
        <f>SUM(G11:G43)</f>
        <v>4103422</v>
      </c>
      <c r="H44" s="564">
        <f t="shared" ref="H44:L44" si="23">SUM(H11:H43)</f>
        <v>2873762</v>
      </c>
      <c r="I44" s="564">
        <f t="shared" si="23"/>
        <v>0</v>
      </c>
      <c r="J44" s="565">
        <f t="shared" si="23"/>
        <v>19614</v>
      </c>
      <c r="K44" s="564">
        <f t="shared" si="23"/>
        <v>78632</v>
      </c>
      <c r="L44" s="535">
        <f t="shared" si="23"/>
        <v>2972008</v>
      </c>
      <c r="M44" s="388">
        <f t="shared" si="5"/>
        <v>666712784</v>
      </c>
      <c r="N44" s="414">
        <f t="shared" ref="N44" si="24">SUM(N11:N43)</f>
        <v>0</v>
      </c>
      <c r="O44" s="388">
        <f t="shared" si="7"/>
        <v>4550448</v>
      </c>
      <c r="P44" s="388">
        <f t="shared" si="8"/>
        <v>18242624</v>
      </c>
      <c r="Q44" s="414">
        <f t="shared" ref="Q44" si="25">SUM(Q11:Q43)</f>
        <v>689505856</v>
      </c>
      <c r="R44" s="635"/>
      <c r="S44" s="635">
        <f>SUM(S11:S43)</f>
        <v>2988093</v>
      </c>
      <c r="T44" s="532">
        <f t="shared" si="11"/>
        <v>16085</v>
      </c>
      <c r="U44" s="635"/>
      <c r="V44" s="635">
        <f>SUM(V11:V43)</f>
        <v>2988093</v>
      </c>
      <c r="W44" s="532">
        <f t="shared" si="13"/>
        <v>72.427549494056422</v>
      </c>
      <c r="X44" s="532">
        <f t="shared" si="14"/>
        <v>-16085</v>
      </c>
      <c r="Y44" s="635"/>
      <c r="Z44" s="635"/>
      <c r="AA44" s="635"/>
      <c r="AB44" s="635"/>
      <c r="AC44" s="635"/>
      <c r="AD44" s="635"/>
      <c r="AE44" s="635">
        <f>SUM(AE11:AE43)</f>
        <v>6265346</v>
      </c>
      <c r="AF44" s="635"/>
      <c r="AG44" s="635"/>
      <c r="AH44" s="635"/>
      <c r="AI44" s="635"/>
      <c r="AJ44" s="635"/>
      <c r="AK44" s="635"/>
      <c r="AL44" s="453">
        <f>SUM(AL11:AL43)</f>
        <v>2924621</v>
      </c>
      <c r="AM44" s="453">
        <f t="shared" ref="AM44:AS44" si="26">SUM(AM11:AM43)</f>
        <v>2892309.9999999995</v>
      </c>
      <c r="AN44" s="453">
        <f t="shared" si="26"/>
        <v>19833</v>
      </c>
      <c r="AO44" s="532">
        <f t="shared" si="21"/>
        <v>19614</v>
      </c>
      <c r="AP44" s="453">
        <f t="shared" si="26"/>
        <v>77020</v>
      </c>
      <c r="AQ44" s="547">
        <f t="shared" si="19"/>
        <v>76169</v>
      </c>
      <c r="AR44" s="453"/>
      <c r="AS44" s="453">
        <f t="shared" si="26"/>
        <v>5933398</v>
      </c>
      <c r="AT44" s="453"/>
      <c r="AU44" s="453"/>
      <c r="AV44" s="453"/>
    </row>
    <row r="45" spans="1:48">
      <c r="A45" s="7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381"/>
      <c r="N45" s="381"/>
      <c r="O45" s="381"/>
      <c r="P45" s="381"/>
      <c r="Q45" s="381"/>
      <c r="R45" s="638"/>
      <c r="S45" s="638"/>
      <c r="T45" s="638"/>
      <c r="U45" s="638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15">
        <f>2988093/3021474*AL44</f>
        <v>2892310.0240985029</v>
      </c>
      <c r="AM45" s="509">
        <f t="shared" ref="AM45:AP45" si="27">2988093/3021474*AM44</f>
        <v>2860355.9934091764</v>
      </c>
      <c r="AN45" s="509">
        <f t="shared" si="27"/>
        <v>19613.886622555747</v>
      </c>
      <c r="AO45" s="532">
        <f t="shared" si="21"/>
        <v>19397.306116815835</v>
      </c>
      <c r="AP45" s="509">
        <f t="shared" si="27"/>
        <v>76169.089278941334</v>
      </c>
      <c r="AQ45" s="547">
        <f t="shared" si="19"/>
        <v>75327.491058006781</v>
      </c>
    </row>
    <row r="46" spans="1:48">
      <c r="A46" s="10" t="s">
        <v>8</v>
      </c>
      <c r="B46"/>
      <c r="C46"/>
      <c r="D46"/>
      <c r="AL46" s="15">
        <v>2892310</v>
      </c>
      <c r="AM46" s="460">
        <v>0</v>
      </c>
      <c r="AN46" s="460">
        <v>19614</v>
      </c>
      <c r="AO46" s="532">
        <f t="shared" si="21"/>
        <v>19397.418242323402</v>
      </c>
      <c r="AP46" s="460">
        <v>76169</v>
      </c>
      <c r="AQ46" s="547">
        <f t="shared" si="19"/>
        <v>75327.40276551545</v>
      </c>
      <c r="AS46" s="460">
        <f>AP46+AN46+AL46</f>
        <v>2988093</v>
      </c>
      <c r="AU46" s="460"/>
    </row>
    <row r="47" spans="1:48">
      <c r="A47" t="s">
        <v>9</v>
      </c>
      <c r="B47"/>
      <c r="C47"/>
      <c r="D47"/>
    </row>
    <row r="48" spans="1:48">
      <c r="A48" t="s">
        <v>10</v>
      </c>
      <c r="B48"/>
      <c r="C48"/>
      <c r="D48"/>
      <c r="I48" s="11"/>
      <c r="J48" s="11"/>
      <c r="K48" s="11"/>
      <c r="L48" s="11"/>
    </row>
    <row r="49" spans="1:39" customFormat="1">
      <c r="A49" s="15" t="s">
        <v>433</v>
      </c>
      <c r="J49" s="11"/>
      <c r="K49" s="11"/>
      <c r="L49" s="11"/>
      <c r="M49" s="382"/>
      <c r="N49" s="382"/>
      <c r="O49" s="382"/>
      <c r="P49" s="382"/>
      <c r="Q49" s="382"/>
      <c r="R49" s="648"/>
      <c r="S49" s="648"/>
      <c r="T49" s="648"/>
      <c r="U49" s="648"/>
      <c r="V49" s="616"/>
      <c r="W49" s="616"/>
      <c r="X49" s="616"/>
      <c r="Y49" s="616"/>
      <c r="Z49" s="616"/>
      <c r="AA49" s="616"/>
      <c r="AB49" s="616"/>
      <c r="AC49" s="616"/>
      <c r="AD49" s="616"/>
      <c r="AE49" s="616"/>
      <c r="AF49" s="616"/>
      <c r="AG49" s="616"/>
      <c r="AH49" s="616"/>
      <c r="AI49" s="616"/>
      <c r="AJ49" s="616"/>
      <c r="AK49" s="616"/>
    </row>
    <row r="50" spans="1:39" customFormat="1">
      <c r="C50" s="15" t="s">
        <v>434</v>
      </c>
      <c r="E50" s="12"/>
      <c r="F50" s="12"/>
      <c r="G50" s="12"/>
      <c r="H50" s="12"/>
      <c r="I50" s="12"/>
      <c r="J50" s="12"/>
      <c r="K50" s="12"/>
      <c r="L50" s="12"/>
      <c r="M50" s="260"/>
      <c r="N50" s="382"/>
      <c r="O50" s="382"/>
      <c r="P50" s="382"/>
      <c r="Q50" s="382"/>
      <c r="R50" s="648"/>
      <c r="S50" s="648"/>
      <c r="T50" s="648"/>
      <c r="U50" s="648"/>
      <c r="V50" s="616"/>
      <c r="W50" s="616"/>
      <c r="X50" s="616"/>
      <c r="Y50" s="616"/>
      <c r="Z50" s="616"/>
      <c r="AA50" s="616"/>
      <c r="AB50" s="616"/>
      <c r="AC50" s="616"/>
      <c r="AD50" s="616"/>
      <c r="AE50" s="616"/>
      <c r="AF50" s="616"/>
      <c r="AG50" s="616"/>
      <c r="AH50" s="616"/>
      <c r="AI50" s="616"/>
      <c r="AJ50" s="616"/>
      <c r="AK50" s="616"/>
    </row>
    <row r="51" spans="1:39">
      <c r="A51" s="14" t="s">
        <v>12</v>
      </c>
      <c r="B51" s="14"/>
      <c r="C51" s="14"/>
      <c r="D51" s="14"/>
      <c r="E51" s="14"/>
      <c r="F51" s="14"/>
      <c r="G51" s="14"/>
      <c r="I51" s="14"/>
      <c r="O51" s="866" t="s">
        <v>13</v>
      </c>
      <c r="P51" s="866"/>
      <c r="Q51" s="866"/>
      <c r="R51" s="640"/>
      <c r="S51" s="640"/>
      <c r="T51" s="640"/>
      <c r="U51" s="640"/>
      <c r="V51" s="612"/>
      <c r="W51" s="612"/>
      <c r="X51" s="612"/>
      <c r="Y51" s="612"/>
      <c r="Z51" s="612"/>
      <c r="AA51" s="612"/>
      <c r="AB51" s="612"/>
      <c r="AC51" s="612"/>
      <c r="AD51" s="612"/>
      <c r="AE51" s="612"/>
      <c r="AF51" s="612"/>
      <c r="AG51" s="612"/>
      <c r="AH51" s="612"/>
      <c r="AI51" s="612"/>
      <c r="AJ51" s="612"/>
      <c r="AK51" s="612"/>
    </row>
    <row r="52" spans="1:39" ht="12.75" customHeight="1">
      <c r="A52" s="871" t="s">
        <v>14</v>
      </c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636"/>
      <c r="S52" s="636"/>
      <c r="T52" s="636"/>
      <c r="U52" s="636"/>
      <c r="V52" s="607"/>
      <c r="W52" s="607"/>
      <c r="X52" s="607"/>
      <c r="Y52" s="607"/>
      <c r="Z52" s="607"/>
      <c r="AA52" s="607"/>
      <c r="AB52" s="607"/>
      <c r="AC52" s="607"/>
      <c r="AD52" s="607"/>
      <c r="AE52" s="607"/>
      <c r="AF52" s="607"/>
      <c r="AG52" s="607"/>
      <c r="AH52" s="607"/>
      <c r="AI52" s="607"/>
      <c r="AJ52" s="607"/>
      <c r="AK52" s="607"/>
    </row>
    <row r="53" spans="1:39">
      <c r="A53" s="866" t="s">
        <v>95</v>
      </c>
      <c r="B53" s="866"/>
      <c r="C53" s="866"/>
      <c r="D53" s="866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R53" s="866"/>
      <c r="S53" s="866"/>
      <c r="T53" s="866"/>
      <c r="U53" s="866"/>
      <c r="V53" s="866"/>
      <c r="W53" s="866"/>
      <c r="X53" s="866"/>
      <c r="Y53" s="866"/>
      <c r="Z53" s="866"/>
      <c r="AA53" s="866"/>
      <c r="AB53" s="866"/>
      <c r="AC53" s="866"/>
      <c r="AD53" s="866"/>
      <c r="AE53" s="866"/>
      <c r="AF53" s="866"/>
      <c r="AG53" s="866"/>
      <c r="AH53" s="866"/>
      <c r="AI53" s="866"/>
      <c r="AJ53" s="866"/>
      <c r="AK53" s="866"/>
      <c r="AL53" s="866"/>
      <c r="AM53" s="458"/>
    </row>
    <row r="54" spans="1:39">
      <c r="A54" s="14"/>
      <c r="B54" s="14"/>
      <c r="C54" s="14"/>
      <c r="D54" s="14"/>
      <c r="E54" s="14"/>
      <c r="F54" s="14"/>
      <c r="N54" s="851" t="s">
        <v>87</v>
      </c>
      <c r="O54" s="851"/>
      <c r="P54" s="851"/>
      <c r="Q54" s="851"/>
      <c r="R54" s="646"/>
      <c r="S54" s="646"/>
      <c r="T54" s="646"/>
      <c r="U54" s="646"/>
      <c r="V54" s="615"/>
      <c r="W54" s="615"/>
      <c r="X54" s="615"/>
      <c r="Y54" s="615"/>
      <c r="Z54" s="615"/>
      <c r="AA54" s="615"/>
      <c r="AB54" s="615"/>
      <c r="AC54" s="615"/>
      <c r="AD54" s="615"/>
      <c r="AE54" s="615"/>
      <c r="AF54" s="615"/>
      <c r="AG54" s="615"/>
      <c r="AH54" s="615"/>
      <c r="AI54" s="615"/>
      <c r="AJ54" s="615"/>
      <c r="AK54" s="615"/>
    </row>
    <row r="55" spans="1:39">
      <c r="A55" s="934"/>
      <c r="B55" s="934"/>
      <c r="C55" s="934"/>
      <c r="D55" s="934"/>
      <c r="E55" s="934"/>
      <c r="F55" s="934"/>
      <c r="G55" s="934"/>
      <c r="H55" s="934"/>
      <c r="I55" s="934"/>
      <c r="J55" s="934"/>
      <c r="K55" s="934"/>
      <c r="L55" s="934"/>
    </row>
  </sheetData>
  <mergeCells count="16">
    <mergeCell ref="A5:O5"/>
    <mergeCell ref="A55:L55"/>
    <mergeCell ref="O1:Q1"/>
    <mergeCell ref="A2:L2"/>
    <mergeCell ref="A3:L3"/>
    <mergeCell ref="A8:A9"/>
    <mergeCell ref="B8:B9"/>
    <mergeCell ref="C8:G8"/>
    <mergeCell ref="H8:L8"/>
    <mergeCell ref="M8:Q8"/>
    <mergeCell ref="N54:Q54"/>
    <mergeCell ref="A53:AL53"/>
    <mergeCell ref="A7:B7"/>
    <mergeCell ref="O51:Q51"/>
    <mergeCell ref="A52:Q52"/>
    <mergeCell ref="N7:Q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5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T56"/>
  <sheetViews>
    <sheetView view="pageBreakPreview" topLeftCell="B40" zoomScale="87" zoomScaleSheetLayoutView="87" workbookViewId="0">
      <selection activeCell="G15" sqref="G15"/>
    </sheetView>
  </sheetViews>
  <sheetFormatPr defaultRowHeight="12.75"/>
  <cols>
    <col min="1" max="1" width="7.140625" style="15" customWidth="1"/>
    <col min="2" max="2" width="20.85546875" style="15" customWidth="1"/>
    <col min="3" max="3" width="12.7109375" style="15" customWidth="1"/>
    <col min="4" max="4" width="9.28515625" style="15" customWidth="1"/>
    <col min="5" max="5" width="9.140625" style="15"/>
    <col min="6" max="6" width="10.7109375" style="15" customWidth="1"/>
    <col min="7" max="7" width="14" style="15" customWidth="1"/>
    <col min="8" max="8" width="10.28515625" style="15" customWidth="1"/>
    <col min="9" max="9" width="10.85546875" style="15" customWidth="1"/>
    <col min="10" max="10" width="10.28515625" style="15" customWidth="1"/>
    <col min="11" max="11" width="11.28515625" style="15" customWidth="1"/>
    <col min="12" max="12" width="18.28515625" style="15" customWidth="1"/>
    <col min="13" max="13" width="17" style="15" customWidth="1"/>
    <col min="14" max="14" width="8.7109375" style="15" customWidth="1"/>
    <col min="15" max="15" width="10.140625" style="15" customWidth="1"/>
    <col min="16" max="16" width="12.28515625" style="15" bestFit="1" customWidth="1"/>
    <col min="17" max="17" width="12.42578125" style="15" customWidth="1"/>
    <col min="18" max="27" width="12.42578125" style="654" customWidth="1"/>
    <col min="28" max="28" width="14" style="15" customWidth="1"/>
    <col min="29" max="36" width="14" style="622" customWidth="1"/>
    <col min="37" max="37" width="12.140625" style="15" customWidth="1"/>
    <col min="38" max="38" width="22.85546875" style="460" customWidth="1"/>
    <col min="39" max="39" width="9.140625" style="15"/>
    <col min="40" max="40" width="17.7109375" style="509" customWidth="1"/>
    <col min="41" max="41" width="14.140625" style="15" customWidth="1"/>
    <col min="42" max="42" width="24" style="509" customWidth="1"/>
    <col min="43" max="43" width="20.7109375" style="460" customWidth="1"/>
    <col min="44" max="44" width="9.140625" style="15"/>
    <col min="45" max="45" width="11.42578125" style="15" bestFit="1" customWidth="1"/>
    <col min="46" max="16384" width="9.140625" style="15"/>
  </cols>
  <sheetData>
    <row r="1" spans="1:46" customFormat="1" ht="12.75" customHeight="1"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46" t="s">
        <v>64</v>
      </c>
      <c r="P1" s="846"/>
      <c r="Q1" s="846"/>
      <c r="R1" s="644"/>
      <c r="S1" s="644"/>
      <c r="T1" s="644"/>
      <c r="U1" s="644"/>
      <c r="V1" s="644"/>
      <c r="W1" s="644"/>
      <c r="X1" s="644"/>
      <c r="Y1" s="644"/>
      <c r="Z1" s="644"/>
      <c r="AA1" s="644"/>
    </row>
    <row r="2" spans="1:46" customFormat="1" ht="15.75">
      <c r="A2" s="847" t="s">
        <v>0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45"/>
      <c r="N2" s="45"/>
      <c r="O2" s="45"/>
      <c r="P2" s="45"/>
    </row>
    <row r="3" spans="1:46" customFormat="1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44"/>
      <c r="N3" s="44"/>
      <c r="O3" s="44"/>
      <c r="P3" s="44"/>
    </row>
    <row r="4" spans="1:46" customFormat="1" ht="11.25" customHeight="1"/>
    <row r="5" spans="1:46" customFormat="1" ht="15.75">
      <c r="A5" s="933" t="s">
        <v>848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15"/>
      <c r="N5" s="15"/>
      <c r="O5" s="15"/>
      <c r="P5" s="15"/>
    </row>
    <row r="7" spans="1:46" ht="12.6" customHeight="1">
      <c r="A7" s="850" t="s">
        <v>923</v>
      </c>
      <c r="B7" s="850"/>
      <c r="N7" s="922" t="s">
        <v>782</v>
      </c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922"/>
      <c r="AC7" s="617"/>
      <c r="AD7" s="617"/>
      <c r="AE7" s="617"/>
      <c r="AF7" s="617"/>
      <c r="AG7" s="617"/>
      <c r="AH7" s="617"/>
      <c r="AI7" s="617"/>
      <c r="AJ7" s="617"/>
    </row>
    <row r="8" spans="1:46" s="14" customFormat="1" ht="29.45" customHeight="1">
      <c r="A8" s="844" t="s">
        <v>2</v>
      </c>
      <c r="B8" s="844" t="s">
        <v>3</v>
      </c>
      <c r="C8" s="865" t="s">
        <v>790</v>
      </c>
      <c r="D8" s="865"/>
      <c r="E8" s="865"/>
      <c r="F8" s="942"/>
      <c r="G8" s="942"/>
      <c r="H8" s="936" t="s">
        <v>639</v>
      </c>
      <c r="I8" s="865"/>
      <c r="J8" s="865"/>
      <c r="K8" s="865"/>
      <c r="L8" s="865"/>
      <c r="M8" s="938" t="s">
        <v>115</v>
      </c>
      <c r="N8" s="939"/>
      <c r="O8" s="939"/>
      <c r="P8" s="939"/>
      <c r="Q8" s="940"/>
      <c r="R8" s="323"/>
      <c r="S8" s="323"/>
      <c r="T8" s="323"/>
      <c r="U8" s="323"/>
      <c r="V8" s="323"/>
      <c r="W8" s="323"/>
      <c r="X8" s="323"/>
      <c r="Y8" s="323"/>
      <c r="Z8" s="323"/>
      <c r="AA8" s="323"/>
    </row>
    <row r="9" spans="1:46" s="14" customFormat="1" ht="38.25">
      <c r="A9" s="844"/>
      <c r="B9" s="844"/>
      <c r="C9" s="5" t="s">
        <v>216</v>
      </c>
      <c r="D9" s="5" t="s">
        <v>217</v>
      </c>
      <c r="E9" s="5" t="s">
        <v>361</v>
      </c>
      <c r="F9" s="7" t="s">
        <v>223</v>
      </c>
      <c r="G9" s="7" t="s">
        <v>120</v>
      </c>
      <c r="H9" s="5" t="s">
        <v>216</v>
      </c>
      <c r="I9" s="5" t="s">
        <v>217</v>
      </c>
      <c r="J9" s="5" t="s">
        <v>361</v>
      </c>
      <c r="K9" s="5" t="s">
        <v>223</v>
      </c>
      <c r="L9" s="5" t="s">
        <v>121</v>
      </c>
      <c r="M9" s="5" t="s">
        <v>216</v>
      </c>
      <c r="N9" s="5" t="s">
        <v>217</v>
      </c>
      <c r="O9" s="5" t="s">
        <v>361</v>
      </c>
      <c r="P9" s="7" t="s">
        <v>223</v>
      </c>
      <c r="Q9" s="5" t="s">
        <v>122</v>
      </c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549"/>
      <c r="AC9" s="549"/>
      <c r="AD9" s="549"/>
      <c r="AE9" s="549"/>
      <c r="AF9" s="549"/>
      <c r="AG9" s="549"/>
      <c r="AH9" s="549"/>
      <c r="AI9" s="549"/>
      <c r="AJ9" s="549"/>
      <c r="AK9" s="499" t="s">
        <v>216</v>
      </c>
      <c r="AL9" s="499" t="s">
        <v>217</v>
      </c>
      <c r="AM9" s="499" t="s">
        <v>361</v>
      </c>
      <c r="AN9" s="499"/>
      <c r="AO9" s="499" t="s">
        <v>223</v>
      </c>
      <c r="AP9" s="499"/>
      <c r="AQ9" s="499" t="s">
        <v>121</v>
      </c>
      <c r="AR9" s="31"/>
      <c r="AS9" s="31"/>
      <c r="AT9" s="31"/>
    </row>
    <row r="10" spans="1:46" s="14" customFormat="1" ht="13.5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05">
        <v>8</v>
      </c>
      <c r="I10" s="5">
        <v>9</v>
      </c>
      <c r="J10" s="5">
        <v>10</v>
      </c>
      <c r="K10" s="50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K10" s="499">
        <v>8</v>
      </c>
      <c r="AL10" s="499">
        <v>9</v>
      </c>
      <c r="AM10" s="499">
        <v>10</v>
      </c>
      <c r="AN10" s="499"/>
      <c r="AO10" s="499">
        <v>11</v>
      </c>
      <c r="AP10" s="499"/>
      <c r="AQ10" s="499">
        <v>12</v>
      </c>
      <c r="AR10" s="31"/>
      <c r="AS10" s="31"/>
      <c r="AT10" s="31"/>
    </row>
    <row r="11" spans="1:46" ht="19.5" thickBot="1">
      <c r="A11" s="18">
        <v>1</v>
      </c>
      <c r="B11" s="415" t="s">
        <v>889</v>
      </c>
      <c r="C11" s="410">
        <v>81474</v>
      </c>
      <c r="D11" s="410">
        <v>0</v>
      </c>
      <c r="E11" s="410">
        <v>0</v>
      </c>
      <c r="F11" s="410">
        <v>472</v>
      </c>
      <c r="G11" s="411">
        <f>SUM(C11:F11)</f>
        <v>81946</v>
      </c>
      <c r="H11" s="553">
        <v>55264</v>
      </c>
      <c r="I11" s="548">
        <v>0</v>
      </c>
      <c r="J11" s="532">
        <v>0</v>
      </c>
      <c r="K11" s="554">
        <v>359</v>
      </c>
      <c r="L11" s="548">
        <f>H11+I11+J11+K11</f>
        <v>55623</v>
      </c>
      <c r="M11" s="388">
        <f>H11*232</f>
        <v>12821248</v>
      </c>
      <c r="N11" s="388">
        <f>I11*232</f>
        <v>0</v>
      </c>
      <c r="O11" s="388">
        <f>J11*232</f>
        <v>0</v>
      </c>
      <c r="P11" s="388">
        <f>K11*232</f>
        <v>83288</v>
      </c>
      <c r="Q11" s="486">
        <f>SUM(M11:P11)</f>
        <v>12904536</v>
      </c>
      <c r="R11" s="721">
        <f>L11/G11</f>
        <v>0.67877626729797669</v>
      </c>
      <c r="S11" s="584">
        <f>Q11*150/1000000</f>
        <v>1935.6804</v>
      </c>
      <c r="T11" s="659"/>
      <c r="U11" s="659"/>
      <c r="V11" s="584">
        <f>L11/G11*100</f>
        <v>67.877626729797669</v>
      </c>
      <c r="W11" s="659">
        <v>83434.5</v>
      </c>
      <c r="X11" s="659"/>
      <c r="Y11" s="659">
        <f>W11/G11*100</f>
        <v>101.8164400946965</v>
      </c>
      <c r="Z11" s="584">
        <f>L11*232*150/1000000</f>
        <v>1935.6804</v>
      </c>
      <c r="AA11" s="659"/>
      <c r="AB11" s="15">
        <v>55623</v>
      </c>
      <c r="AC11" s="453">
        <f>L11/G11*100</f>
        <v>67.877626729797669</v>
      </c>
      <c r="AE11" s="453">
        <f>H11+I11+J11+K11</f>
        <v>55623</v>
      </c>
      <c r="AF11" s="453">
        <f>L11-AE11</f>
        <v>0</v>
      </c>
      <c r="AK11" s="485">
        <v>63257</v>
      </c>
      <c r="AL11" s="388">
        <f>1633788/1665672*AK11</f>
        <v>62046.145649323516</v>
      </c>
      <c r="AM11" s="388">
        <v>0</v>
      </c>
      <c r="AN11" s="388"/>
      <c r="AO11" s="488">
        <v>366</v>
      </c>
      <c r="AP11" s="551">
        <f>11611/11838*AO11</f>
        <v>358.98175367460721</v>
      </c>
      <c r="AQ11" s="388">
        <v>63623</v>
      </c>
      <c r="AR11" s="546"/>
      <c r="AS11" s="550"/>
      <c r="AT11" s="22"/>
    </row>
    <row r="12" spans="1:46" ht="19.5" thickBot="1">
      <c r="A12" s="18">
        <v>2</v>
      </c>
      <c r="B12" s="415" t="s">
        <v>890</v>
      </c>
      <c r="C12" s="410">
        <v>98149</v>
      </c>
      <c r="D12" s="410">
        <v>0</v>
      </c>
      <c r="E12" s="410">
        <v>0</v>
      </c>
      <c r="F12" s="410">
        <v>109</v>
      </c>
      <c r="G12" s="411">
        <f t="shared" ref="G12:G43" si="0">SUM(C12:F12)</f>
        <v>98258</v>
      </c>
      <c r="H12" s="553">
        <v>78205</v>
      </c>
      <c r="I12" s="548">
        <v>0</v>
      </c>
      <c r="J12" s="532">
        <v>0</v>
      </c>
      <c r="K12" s="554">
        <v>83</v>
      </c>
      <c r="L12" s="548">
        <f t="shared" ref="L12:L43" si="1">H12+I12+J12+K12</f>
        <v>78288</v>
      </c>
      <c r="M12" s="388">
        <f t="shared" ref="M12:M43" si="2">H12*232</f>
        <v>18143560</v>
      </c>
      <c r="N12" s="388">
        <f t="shared" ref="N12:N43" si="3">I12*233</f>
        <v>0</v>
      </c>
      <c r="O12" s="388">
        <f t="shared" ref="O12:O44" si="4">J12*232</f>
        <v>0</v>
      </c>
      <c r="P12" s="388">
        <f t="shared" ref="P12:P44" si="5">K12*232</f>
        <v>19256</v>
      </c>
      <c r="Q12" s="486">
        <f t="shared" ref="Q12:Q43" si="6">SUM(M12:P12)</f>
        <v>18162816</v>
      </c>
      <c r="R12" s="721">
        <f t="shared" ref="R12:R43" si="7">L12/G12</f>
        <v>0.79675955138512899</v>
      </c>
      <c r="S12" s="584">
        <f t="shared" ref="S12:S43" si="8">Q12*150/1000000</f>
        <v>2724.4223999999999</v>
      </c>
      <c r="T12" s="659"/>
      <c r="U12" s="659"/>
      <c r="V12" s="584">
        <f t="shared" ref="V12:V44" si="9">L12/G12*100</f>
        <v>79.675955138512904</v>
      </c>
      <c r="W12" s="659">
        <v>117432</v>
      </c>
      <c r="X12" s="659"/>
      <c r="Y12" s="659">
        <f t="shared" ref="Y12:Y43" si="10">W12/G12*100</f>
        <v>119.51393270776933</v>
      </c>
      <c r="Z12" s="584">
        <f t="shared" ref="Z12:Z43" si="11">L12*232*150/1000000</f>
        <v>2724.4223999999999</v>
      </c>
      <c r="AA12" s="659"/>
      <c r="AB12" s="15">
        <v>78288</v>
      </c>
      <c r="AC12" s="453">
        <f t="shared" ref="AC12:AC44" si="12">L12/G12*100</f>
        <v>79.675955138512904</v>
      </c>
      <c r="AE12" s="453">
        <f t="shared" ref="AE12:AE44" si="13">H12+I12+J12+K12</f>
        <v>78288</v>
      </c>
      <c r="AF12" s="453">
        <f t="shared" ref="AF12:AF44" si="14">L12-AE12</f>
        <v>0</v>
      </c>
      <c r="AK12" s="487">
        <v>76203</v>
      </c>
      <c r="AL12" s="388">
        <f t="shared" ref="AL12:AL44" si="15">1633788/1665672*AK12</f>
        <v>74744.335597884812</v>
      </c>
      <c r="AM12" s="388">
        <v>0</v>
      </c>
      <c r="AN12" s="388"/>
      <c r="AO12" s="488">
        <v>85</v>
      </c>
      <c r="AP12" s="551">
        <f t="shared" ref="AP12:AP46" si="16">11611/11838*AO12</f>
        <v>83.370079405304949</v>
      </c>
      <c r="AQ12" s="388">
        <v>76288</v>
      </c>
      <c r="AR12" s="546"/>
      <c r="AS12" s="550"/>
      <c r="AT12" s="22"/>
    </row>
    <row r="13" spans="1:46" ht="19.5" thickBot="1">
      <c r="A13" s="18">
        <v>3</v>
      </c>
      <c r="B13" s="415" t="s">
        <v>891</v>
      </c>
      <c r="C13" s="410">
        <v>95006</v>
      </c>
      <c r="D13" s="410">
        <v>0</v>
      </c>
      <c r="E13" s="410">
        <v>690</v>
      </c>
      <c r="F13" s="410">
        <v>182</v>
      </c>
      <c r="G13" s="411">
        <f t="shared" si="0"/>
        <v>95878</v>
      </c>
      <c r="H13" s="553">
        <v>86276</v>
      </c>
      <c r="I13" s="548">
        <v>0</v>
      </c>
      <c r="J13" s="532">
        <v>526</v>
      </c>
      <c r="K13" s="554">
        <v>138</v>
      </c>
      <c r="L13" s="548">
        <f t="shared" si="1"/>
        <v>86940</v>
      </c>
      <c r="M13" s="388">
        <f t="shared" si="2"/>
        <v>20016032</v>
      </c>
      <c r="N13" s="388">
        <f t="shared" si="3"/>
        <v>0</v>
      </c>
      <c r="O13" s="388">
        <f t="shared" si="4"/>
        <v>122032</v>
      </c>
      <c r="P13" s="388">
        <f t="shared" si="5"/>
        <v>32016</v>
      </c>
      <c r="Q13" s="486">
        <f t="shared" si="6"/>
        <v>20170080</v>
      </c>
      <c r="R13" s="721">
        <f t="shared" si="7"/>
        <v>0.90677736289868371</v>
      </c>
      <c r="S13" s="584">
        <f t="shared" si="8"/>
        <v>3025.5120000000002</v>
      </c>
      <c r="T13" s="659">
        <f>L13+25500</f>
        <v>112440</v>
      </c>
      <c r="U13" s="659">
        <f>T13-L13</f>
        <v>25500</v>
      </c>
      <c r="V13" s="584">
        <f t="shared" si="9"/>
        <v>90.677736289868378</v>
      </c>
      <c r="W13" s="659">
        <v>66660</v>
      </c>
      <c r="X13" s="659"/>
      <c r="Y13" s="659">
        <f t="shared" si="10"/>
        <v>69.525855775047447</v>
      </c>
      <c r="Z13" s="584">
        <f t="shared" si="11"/>
        <v>3025.5120000000002</v>
      </c>
      <c r="AA13" s="659"/>
      <c r="AB13" s="15">
        <v>44440</v>
      </c>
      <c r="AC13" s="453">
        <f t="shared" si="12"/>
        <v>90.677736289868378</v>
      </c>
      <c r="AE13" s="453">
        <f t="shared" si="13"/>
        <v>86940</v>
      </c>
      <c r="AF13" s="453">
        <f t="shared" si="14"/>
        <v>0</v>
      </c>
      <c r="AK13" s="487">
        <v>73763</v>
      </c>
      <c r="AL13" s="388">
        <f t="shared" si="15"/>
        <v>72351.041648055558</v>
      </c>
      <c r="AM13" s="388">
        <v>536</v>
      </c>
      <c r="AN13" s="388">
        <f>997/1016*AM13</f>
        <v>525.97637795275591</v>
      </c>
      <c r="AO13" s="488">
        <v>141</v>
      </c>
      <c r="AP13" s="551">
        <f t="shared" si="16"/>
        <v>138.29624936644703</v>
      </c>
      <c r="AQ13" s="388">
        <v>74440</v>
      </c>
      <c r="AR13" s="546"/>
      <c r="AS13" s="550"/>
      <c r="AT13" s="22"/>
    </row>
    <row r="14" spans="1:46" ht="19.5" thickBot="1">
      <c r="A14" s="18">
        <v>4</v>
      </c>
      <c r="B14" s="415" t="s">
        <v>892</v>
      </c>
      <c r="C14" s="410">
        <v>38874</v>
      </c>
      <c r="D14" s="410">
        <v>0</v>
      </c>
      <c r="E14" s="410">
        <v>0</v>
      </c>
      <c r="F14" s="410">
        <v>887</v>
      </c>
      <c r="G14" s="411">
        <f t="shared" si="0"/>
        <v>39761</v>
      </c>
      <c r="H14" s="553">
        <v>31595</v>
      </c>
      <c r="I14" s="548">
        <v>0</v>
      </c>
      <c r="J14" s="532">
        <v>0</v>
      </c>
      <c r="K14" s="554">
        <v>676</v>
      </c>
      <c r="L14" s="548">
        <f t="shared" si="1"/>
        <v>32271</v>
      </c>
      <c r="M14" s="388">
        <f t="shared" si="2"/>
        <v>7330040</v>
      </c>
      <c r="N14" s="388">
        <f t="shared" si="3"/>
        <v>0</v>
      </c>
      <c r="O14" s="388">
        <f t="shared" si="4"/>
        <v>0</v>
      </c>
      <c r="P14" s="388">
        <f t="shared" si="5"/>
        <v>156832</v>
      </c>
      <c r="Q14" s="486">
        <f t="shared" si="6"/>
        <v>7486872</v>
      </c>
      <c r="R14" s="721">
        <f t="shared" si="7"/>
        <v>0.81162445612534895</v>
      </c>
      <c r="S14" s="584">
        <f t="shared" si="8"/>
        <v>1123.0308</v>
      </c>
      <c r="T14" s="659"/>
      <c r="U14" s="659"/>
      <c r="V14" s="584">
        <f t="shared" si="9"/>
        <v>81.162445612534896</v>
      </c>
      <c r="W14" s="659">
        <v>93406.5</v>
      </c>
      <c r="X14" s="659"/>
      <c r="Y14" s="659">
        <f t="shared" si="10"/>
        <v>234.91989638087571</v>
      </c>
      <c r="Z14" s="584">
        <f t="shared" si="11"/>
        <v>1123.0308</v>
      </c>
      <c r="AA14" s="659"/>
      <c r="AB14" s="15">
        <v>62271</v>
      </c>
      <c r="AC14" s="453">
        <f>L14/G14*100</f>
        <v>81.162445612534896</v>
      </c>
      <c r="AE14" s="453">
        <f t="shared" si="13"/>
        <v>32271</v>
      </c>
      <c r="AF14" s="453">
        <f t="shared" si="14"/>
        <v>0</v>
      </c>
      <c r="AK14" s="487">
        <v>30182</v>
      </c>
      <c r="AL14" s="388">
        <f t="shared" si="15"/>
        <v>29604.261472846993</v>
      </c>
      <c r="AM14" s="388">
        <v>0</v>
      </c>
      <c r="AN14" s="388">
        <f t="shared" ref="AN14:AN46" si="17">997/1016*AM14</f>
        <v>0</v>
      </c>
      <c r="AO14" s="488">
        <v>689</v>
      </c>
      <c r="AP14" s="551">
        <f t="shared" si="16"/>
        <v>675.78805541476606</v>
      </c>
      <c r="AQ14" s="388">
        <v>30871</v>
      </c>
      <c r="AR14" s="546"/>
      <c r="AS14" s="550"/>
      <c r="AT14" s="22"/>
    </row>
    <row r="15" spans="1:46" ht="19.5" thickBot="1">
      <c r="A15" s="18">
        <v>5</v>
      </c>
      <c r="B15" s="415" t="s">
        <v>893</v>
      </c>
      <c r="C15" s="410">
        <v>113167</v>
      </c>
      <c r="D15" s="410">
        <v>0</v>
      </c>
      <c r="E15" s="410">
        <v>0</v>
      </c>
      <c r="F15" s="410">
        <v>1084</v>
      </c>
      <c r="G15" s="411">
        <f t="shared" si="0"/>
        <v>114251</v>
      </c>
      <c r="H15" s="553">
        <v>102879</v>
      </c>
      <c r="I15" s="548">
        <v>0</v>
      </c>
      <c r="J15" s="532">
        <v>0</v>
      </c>
      <c r="K15" s="554">
        <v>826</v>
      </c>
      <c r="L15" s="548">
        <f t="shared" si="1"/>
        <v>103705</v>
      </c>
      <c r="M15" s="388">
        <f t="shared" si="2"/>
        <v>23867928</v>
      </c>
      <c r="N15" s="388">
        <f t="shared" si="3"/>
        <v>0</v>
      </c>
      <c r="O15" s="388">
        <f t="shared" si="4"/>
        <v>0</v>
      </c>
      <c r="P15" s="388">
        <f t="shared" si="5"/>
        <v>191632</v>
      </c>
      <c r="Q15" s="486">
        <f t="shared" si="6"/>
        <v>24059560</v>
      </c>
      <c r="R15" s="721">
        <f t="shared" si="7"/>
        <v>0.90769446219289107</v>
      </c>
      <c r="S15" s="584">
        <f t="shared" si="8"/>
        <v>3608.9340000000002</v>
      </c>
      <c r="T15" s="659"/>
      <c r="U15" s="659"/>
      <c r="V15" s="584">
        <f t="shared" si="9"/>
        <v>90.769446219289108</v>
      </c>
      <c r="W15" s="659">
        <v>155557.5</v>
      </c>
      <c r="X15" s="659"/>
      <c r="Y15" s="659">
        <f t="shared" si="10"/>
        <v>136.15416932893368</v>
      </c>
      <c r="Z15" s="584">
        <f t="shared" si="11"/>
        <v>3608.9340000000002</v>
      </c>
      <c r="AA15" s="659"/>
      <c r="AB15" s="15">
        <v>103705</v>
      </c>
      <c r="AC15" s="453">
        <f t="shared" si="12"/>
        <v>90.769446219289108</v>
      </c>
      <c r="AE15" s="453">
        <f t="shared" si="13"/>
        <v>103705</v>
      </c>
      <c r="AF15" s="453">
        <f t="shared" si="14"/>
        <v>0</v>
      </c>
      <c r="AK15" s="487">
        <v>87863</v>
      </c>
      <c r="AL15" s="388">
        <f t="shared" si="15"/>
        <v>86181.14193190496</v>
      </c>
      <c r="AM15" s="388">
        <v>0</v>
      </c>
      <c r="AN15" s="388">
        <f t="shared" si="17"/>
        <v>0</v>
      </c>
      <c r="AO15" s="488">
        <v>842</v>
      </c>
      <c r="AP15" s="551">
        <f t="shared" si="16"/>
        <v>825.85419834431491</v>
      </c>
      <c r="AQ15" s="388">
        <v>88705</v>
      </c>
      <c r="AR15" s="546"/>
      <c r="AS15" s="550"/>
      <c r="AT15" s="22"/>
    </row>
    <row r="16" spans="1:46" ht="19.5" thickBot="1">
      <c r="A16" s="18">
        <v>6</v>
      </c>
      <c r="B16" s="415" t="s">
        <v>894</v>
      </c>
      <c r="C16" s="410">
        <v>70154</v>
      </c>
      <c r="D16" s="410">
        <v>0</v>
      </c>
      <c r="E16" s="410">
        <v>0</v>
      </c>
      <c r="F16" s="410">
        <v>166</v>
      </c>
      <c r="G16" s="411">
        <f t="shared" si="0"/>
        <v>70320</v>
      </c>
      <c r="H16" s="553">
        <v>51470</v>
      </c>
      <c r="I16" s="548">
        <v>0</v>
      </c>
      <c r="J16" s="532">
        <v>0</v>
      </c>
      <c r="K16" s="554">
        <v>127</v>
      </c>
      <c r="L16" s="548">
        <f t="shared" si="1"/>
        <v>51597</v>
      </c>
      <c r="M16" s="388">
        <f t="shared" si="2"/>
        <v>11941040</v>
      </c>
      <c r="N16" s="388">
        <f t="shared" si="3"/>
        <v>0</v>
      </c>
      <c r="O16" s="388">
        <f t="shared" si="4"/>
        <v>0</v>
      </c>
      <c r="P16" s="388">
        <f t="shared" si="5"/>
        <v>29464</v>
      </c>
      <c r="Q16" s="486">
        <f t="shared" si="6"/>
        <v>11970504</v>
      </c>
      <c r="R16" s="721">
        <f t="shared" si="7"/>
        <v>0.73374573378839592</v>
      </c>
      <c r="S16" s="584">
        <f t="shared" si="8"/>
        <v>1795.5755999999999</v>
      </c>
      <c r="T16" s="659"/>
      <c r="U16" s="659"/>
      <c r="V16" s="584">
        <f t="shared" si="9"/>
        <v>73.374573378839585</v>
      </c>
      <c r="W16" s="659">
        <v>77395.5</v>
      </c>
      <c r="X16" s="659"/>
      <c r="Y16" s="659">
        <f t="shared" si="10"/>
        <v>110.06186006825938</v>
      </c>
      <c r="Z16" s="584">
        <f t="shared" si="11"/>
        <v>1795.5755999999999</v>
      </c>
      <c r="AA16" s="659"/>
      <c r="AB16" s="15">
        <v>51597</v>
      </c>
      <c r="AC16" s="453">
        <f t="shared" si="12"/>
        <v>73.374573378839585</v>
      </c>
      <c r="AE16" s="453">
        <f t="shared" si="13"/>
        <v>51597</v>
      </c>
      <c r="AF16" s="453">
        <f t="shared" si="14"/>
        <v>0</v>
      </c>
      <c r="AK16" s="487">
        <v>54468</v>
      </c>
      <c r="AL16" s="388">
        <f t="shared" si="15"/>
        <v>53425.383139057391</v>
      </c>
      <c r="AM16" s="388">
        <v>0</v>
      </c>
      <c r="AN16" s="388">
        <f t="shared" si="17"/>
        <v>0</v>
      </c>
      <c r="AO16" s="488">
        <v>129</v>
      </c>
      <c r="AP16" s="551">
        <f t="shared" si="16"/>
        <v>126.52635580334517</v>
      </c>
      <c r="AQ16" s="388">
        <v>54597</v>
      </c>
      <c r="AR16" s="546"/>
      <c r="AS16" s="550"/>
      <c r="AT16" s="22"/>
    </row>
    <row r="17" spans="1:46" ht="19.5" thickBot="1">
      <c r="A17" s="18">
        <v>7</v>
      </c>
      <c r="B17" s="415" t="s">
        <v>895</v>
      </c>
      <c r="C17" s="410">
        <v>94548</v>
      </c>
      <c r="D17" s="410">
        <v>0</v>
      </c>
      <c r="E17" s="410">
        <v>0</v>
      </c>
      <c r="F17" s="410">
        <v>732</v>
      </c>
      <c r="G17" s="411">
        <f t="shared" si="0"/>
        <v>95280</v>
      </c>
      <c r="H17" s="553">
        <v>77418</v>
      </c>
      <c r="I17" s="548">
        <v>0</v>
      </c>
      <c r="J17" s="532">
        <v>0</v>
      </c>
      <c r="K17" s="554">
        <v>557</v>
      </c>
      <c r="L17" s="548">
        <f t="shared" si="1"/>
        <v>77975</v>
      </c>
      <c r="M17" s="388">
        <f t="shared" si="2"/>
        <v>17960976</v>
      </c>
      <c r="N17" s="388">
        <f t="shared" si="3"/>
        <v>0</v>
      </c>
      <c r="O17" s="388">
        <f t="shared" si="4"/>
        <v>0</v>
      </c>
      <c r="P17" s="388">
        <f t="shared" si="5"/>
        <v>129224</v>
      </c>
      <c r="Q17" s="486">
        <f t="shared" si="6"/>
        <v>18090200</v>
      </c>
      <c r="R17" s="721">
        <f t="shared" si="7"/>
        <v>0.81837741393786734</v>
      </c>
      <c r="S17" s="584">
        <f t="shared" si="8"/>
        <v>2713.53</v>
      </c>
      <c r="T17" s="659"/>
      <c r="U17" s="659"/>
      <c r="V17" s="584">
        <f t="shared" si="9"/>
        <v>81.837741393786729</v>
      </c>
      <c r="W17" s="659">
        <v>116962.5</v>
      </c>
      <c r="X17" s="659"/>
      <c r="Y17" s="659">
        <f t="shared" si="10"/>
        <v>122.75661209068009</v>
      </c>
      <c r="Z17" s="584">
        <f t="shared" si="11"/>
        <v>2713.53</v>
      </c>
      <c r="AA17" s="659"/>
      <c r="AB17" s="15">
        <v>77975</v>
      </c>
      <c r="AC17" s="453">
        <f t="shared" si="12"/>
        <v>81.837741393786729</v>
      </c>
      <c r="AE17" s="453">
        <f t="shared" si="13"/>
        <v>77975</v>
      </c>
      <c r="AF17" s="453">
        <f t="shared" si="14"/>
        <v>0</v>
      </c>
      <c r="AK17" s="487">
        <v>73407</v>
      </c>
      <c r="AL17" s="388">
        <f t="shared" si="15"/>
        <v>72001.856137342766</v>
      </c>
      <c r="AM17" s="388">
        <v>0</v>
      </c>
      <c r="AN17" s="388">
        <f t="shared" si="17"/>
        <v>0</v>
      </c>
      <c r="AO17" s="488">
        <v>568</v>
      </c>
      <c r="AP17" s="551">
        <f t="shared" si="16"/>
        <v>557.10829532015543</v>
      </c>
      <c r="AQ17" s="388">
        <v>73975</v>
      </c>
      <c r="AR17" s="546"/>
      <c r="AS17" s="550"/>
      <c r="AT17" s="22"/>
    </row>
    <row r="18" spans="1:46" ht="19.5" thickBot="1">
      <c r="A18" s="18">
        <v>8</v>
      </c>
      <c r="B18" s="415" t="s">
        <v>896</v>
      </c>
      <c r="C18" s="410">
        <v>65757</v>
      </c>
      <c r="D18" s="410">
        <v>0</v>
      </c>
      <c r="E18" s="410">
        <v>0</v>
      </c>
      <c r="F18" s="410">
        <v>243</v>
      </c>
      <c r="G18" s="411">
        <f t="shared" si="0"/>
        <v>66000</v>
      </c>
      <c r="H18" s="553">
        <v>45818</v>
      </c>
      <c r="I18" s="548">
        <v>0</v>
      </c>
      <c r="J18" s="532">
        <v>0</v>
      </c>
      <c r="K18" s="554">
        <v>185</v>
      </c>
      <c r="L18" s="548">
        <f t="shared" si="1"/>
        <v>46003</v>
      </c>
      <c r="M18" s="388">
        <f t="shared" si="2"/>
        <v>10629776</v>
      </c>
      <c r="N18" s="388">
        <f t="shared" si="3"/>
        <v>0</v>
      </c>
      <c r="O18" s="388">
        <f t="shared" si="4"/>
        <v>0</v>
      </c>
      <c r="P18" s="388">
        <f t="shared" si="5"/>
        <v>42920</v>
      </c>
      <c r="Q18" s="486">
        <f t="shared" si="6"/>
        <v>10672696</v>
      </c>
      <c r="R18" s="721">
        <f t="shared" si="7"/>
        <v>0.69701515151515148</v>
      </c>
      <c r="S18" s="584">
        <f t="shared" si="8"/>
        <v>1600.9043999999999</v>
      </c>
      <c r="T18" s="659"/>
      <c r="U18" s="659"/>
      <c r="V18" s="584">
        <f t="shared" si="9"/>
        <v>69.701515151515153</v>
      </c>
      <c r="W18" s="659">
        <v>69004.5</v>
      </c>
      <c r="X18" s="659"/>
      <c r="Y18" s="659">
        <f t="shared" si="10"/>
        <v>104.55227272727272</v>
      </c>
      <c r="Z18" s="584">
        <f t="shared" si="11"/>
        <v>1600.9043999999999</v>
      </c>
      <c r="AA18" s="659"/>
      <c r="AB18" s="15">
        <v>46003</v>
      </c>
      <c r="AC18" s="453">
        <f t="shared" si="12"/>
        <v>69.701515151515153</v>
      </c>
      <c r="AE18" s="453">
        <f t="shared" si="13"/>
        <v>46003</v>
      </c>
      <c r="AF18" s="453">
        <f t="shared" si="14"/>
        <v>0</v>
      </c>
      <c r="AK18" s="487">
        <v>51054</v>
      </c>
      <c r="AL18" s="388">
        <f t="shared" si="15"/>
        <v>50076.733325648747</v>
      </c>
      <c r="AM18" s="388">
        <v>0</v>
      </c>
      <c r="AN18" s="388">
        <f t="shared" si="17"/>
        <v>0</v>
      </c>
      <c r="AO18" s="488">
        <v>189</v>
      </c>
      <c r="AP18" s="551">
        <f t="shared" si="16"/>
        <v>185.37582361885453</v>
      </c>
      <c r="AQ18" s="388">
        <v>51243</v>
      </c>
      <c r="AR18" s="546"/>
      <c r="AS18" s="550"/>
      <c r="AT18" s="22"/>
    </row>
    <row r="19" spans="1:46" ht="19.5" thickBot="1">
      <c r="A19" s="18">
        <v>9</v>
      </c>
      <c r="B19" s="415" t="s">
        <v>897</v>
      </c>
      <c r="C19" s="410">
        <v>38776</v>
      </c>
      <c r="D19" s="410">
        <v>0</v>
      </c>
      <c r="E19" s="410">
        <v>0</v>
      </c>
      <c r="F19" s="410">
        <v>229</v>
      </c>
      <c r="G19" s="411">
        <f t="shared" si="0"/>
        <v>39005</v>
      </c>
      <c r="H19" s="553">
        <v>33109</v>
      </c>
      <c r="I19" s="548">
        <v>0</v>
      </c>
      <c r="J19" s="532">
        <v>0</v>
      </c>
      <c r="K19" s="554">
        <v>175</v>
      </c>
      <c r="L19" s="548">
        <f t="shared" si="1"/>
        <v>33284</v>
      </c>
      <c r="M19" s="388">
        <f t="shared" si="2"/>
        <v>7681288</v>
      </c>
      <c r="N19" s="388">
        <f t="shared" si="3"/>
        <v>0</v>
      </c>
      <c r="O19" s="388">
        <f t="shared" si="4"/>
        <v>0</v>
      </c>
      <c r="P19" s="388">
        <f t="shared" si="5"/>
        <v>40600</v>
      </c>
      <c r="Q19" s="486">
        <f t="shared" si="6"/>
        <v>7721888</v>
      </c>
      <c r="R19" s="721">
        <f t="shared" si="7"/>
        <v>0.85332649660299964</v>
      </c>
      <c r="S19" s="584">
        <f t="shared" si="8"/>
        <v>1158.2832000000001</v>
      </c>
      <c r="T19" s="659"/>
      <c r="U19" s="659"/>
      <c r="V19" s="584">
        <f t="shared" si="9"/>
        <v>85.332649660299964</v>
      </c>
      <c r="W19" s="659">
        <v>49926</v>
      </c>
      <c r="X19" s="659"/>
      <c r="Y19" s="659">
        <f t="shared" si="10"/>
        <v>127.99897449044994</v>
      </c>
      <c r="Z19" s="584">
        <f t="shared" si="11"/>
        <v>1158.2832000000001</v>
      </c>
      <c r="AA19" s="659"/>
      <c r="AB19" s="15">
        <v>33284</v>
      </c>
      <c r="AC19" s="453">
        <f t="shared" si="12"/>
        <v>85.332649660299964</v>
      </c>
      <c r="AD19" s="453">
        <f>H19+AC19</f>
        <v>33194.332649660297</v>
      </c>
      <c r="AE19" s="453">
        <f t="shared" si="13"/>
        <v>33284</v>
      </c>
      <c r="AF19" s="453">
        <f t="shared" si="14"/>
        <v>0</v>
      </c>
      <c r="AK19" s="487">
        <v>30106</v>
      </c>
      <c r="AL19" s="388">
        <f t="shared" si="15"/>
        <v>29529.716251458871</v>
      </c>
      <c r="AM19" s="388">
        <v>0</v>
      </c>
      <c r="AN19" s="388">
        <f t="shared" si="17"/>
        <v>0</v>
      </c>
      <c r="AO19" s="488">
        <v>178</v>
      </c>
      <c r="AP19" s="551">
        <f t="shared" si="16"/>
        <v>174.58675451934448</v>
      </c>
      <c r="AQ19" s="388">
        <v>30284</v>
      </c>
      <c r="AR19" s="546"/>
      <c r="AS19" s="550"/>
      <c r="AT19" s="22"/>
    </row>
    <row r="20" spans="1:46" ht="19.5" thickBot="1">
      <c r="A20" s="18">
        <v>10</v>
      </c>
      <c r="B20" s="415" t="s">
        <v>898</v>
      </c>
      <c r="C20" s="410">
        <v>56376</v>
      </c>
      <c r="D20" s="410">
        <v>0</v>
      </c>
      <c r="E20" s="410">
        <v>0</v>
      </c>
      <c r="F20" s="410">
        <v>611</v>
      </c>
      <c r="G20" s="411">
        <f t="shared" si="0"/>
        <v>56987</v>
      </c>
      <c r="H20" s="553">
        <v>45480</v>
      </c>
      <c r="I20" s="548">
        <v>0</v>
      </c>
      <c r="J20" s="532">
        <v>0</v>
      </c>
      <c r="K20" s="554">
        <v>465</v>
      </c>
      <c r="L20" s="548">
        <f t="shared" si="1"/>
        <v>45945</v>
      </c>
      <c r="M20" s="388">
        <f t="shared" si="2"/>
        <v>10551360</v>
      </c>
      <c r="N20" s="388">
        <f t="shared" si="3"/>
        <v>0</v>
      </c>
      <c r="O20" s="388">
        <f t="shared" si="4"/>
        <v>0</v>
      </c>
      <c r="P20" s="388">
        <f t="shared" si="5"/>
        <v>107880</v>
      </c>
      <c r="Q20" s="486">
        <f t="shared" si="6"/>
        <v>10659240</v>
      </c>
      <c r="R20" s="721">
        <f t="shared" si="7"/>
        <v>0.80623651008124664</v>
      </c>
      <c r="S20" s="584">
        <f t="shared" si="8"/>
        <v>1598.886</v>
      </c>
      <c r="T20" s="659"/>
      <c r="U20" s="659"/>
      <c r="V20" s="584">
        <f t="shared" si="9"/>
        <v>80.623651008124668</v>
      </c>
      <c r="W20" s="659">
        <v>68917.5</v>
      </c>
      <c r="X20" s="659"/>
      <c r="Y20" s="659">
        <f t="shared" si="10"/>
        <v>120.93547651218699</v>
      </c>
      <c r="Z20" s="584">
        <f t="shared" si="11"/>
        <v>1598.886</v>
      </c>
      <c r="AA20" s="659"/>
      <c r="AB20" s="15">
        <v>45945</v>
      </c>
      <c r="AC20" s="453">
        <f t="shared" si="12"/>
        <v>80.623651008124668</v>
      </c>
      <c r="AD20" s="453">
        <f t="shared" ref="AD20:AD44" si="18">H20+AC20</f>
        <v>45560.623651008122</v>
      </c>
      <c r="AE20" s="453">
        <f t="shared" si="13"/>
        <v>45945</v>
      </c>
      <c r="AF20" s="453">
        <f t="shared" si="14"/>
        <v>0</v>
      </c>
      <c r="AK20" s="487">
        <v>43771</v>
      </c>
      <c r="AL20" s="388">
        <f t="shared" si="15"/>
        <v>42933.143228678877</v>
      </c>
      <c r="AM20" s="388">
        <v>0</v>
      </c>
      <c r="AN20" s="388">
        <f t="shared" si="17"/>
        <v>0</v>
      </c>
      <c r="AO20" s="488">
        <v>474</v>
      </c>
      <c r="AP20" s="551">
        <f t="shared" si="16"/>
        <v>464.9107957425241</v>
      </c>
      <c r="AQ20" s="388">
        <v>44245</v>
      </c>
      <c r="AR20" s="546"/>
      <c r="AS20" s="550"/>
      <c r="AT20" s="22"/>
    </row>
    <row r="21" spans="1:46" ht="19.5" thickBot="1">
      <c r="A21" s="18">
        <v>11</v>
      </c>
      <c r="B21" s="415" t="s">
        <v>899</v>
      </c>
      <c r="C21" s="410">
        <v>61723</v>
      </c>
      <c r="D21" s="410">
        <v>0</v>
      </c>
      <c r="E21" s="410">
        <v>0</v>
      </c>
      <c r="F21" s="410">
        <v>258</v>
      </c>
      <c r="G21" s="411">
        <f t="shared" si="0"/>
        <v>61981</v>
      </c>
      <c r="H21" s="553">
        <v>49326</v>
      </c>
      <c r="I21" s="548">
        <v>0</v>
      </c>
      <c r="J21" s="532">
        <v>0</v>
      </c>
      <c r="K21" s="554">
        <v>196</v>
      </c>
      <c r="L21" s="548">
        <f t="shared" si="1"/>
        <v>49522</v>
      </c>
      <c r="M21" s="388">
        <f t="shared" si="2"/>
        <v>11443632</v>
      </c>
      <c r="N21" s="388">
        <f t="shared" si="3"/>
        <v>0</v>
      </c>
      <c r="O21" s="388">
        <f t="shared" si="4"/>
        <v>0</v>
      </c>
      <c r="P21" s="388">
        <f t="shared" si="5"/>
        <v>45472</v>
      </c>
      <c r="Q21" s="486">
        <f t="shared" si="6"/>
        <v>11489104</v>
      </c>
      <c r="R21" s="721">
        <f t="shared" si="7"/>
        <v>0.79898678627321273</v>
      </c>
      <c r="S21" s="584">
        <f t="shared" si="8"/>
        <v>1723.3656000000001</v>
      </c>
      <c r="T21" s="659"/>
      <c r="U21" s="659"/>
      <c r="V21" s="584">
        <f t="shared" si="9"/>
        <v>79.898678627321274</v>
      </c>
      <c r="W21" s="659">
        <v>74283</v>
      </c>
      <c r="X21" s="659"/>
      <c r="Y21" s="659">
        <f t="shared" si="10"/>
        <v>119.84801794098192</v>
      </c>
      <c r="Z21" s="584">
        <f t="shared" si="11"/>
        <v>1723.3656000000001</v>
      </c>
      <c r="AA21" s="659"/>
      <c r="AB21" s="15">
        <v>49522</v>
      </c>
      <c r="AC21" s="453">
        <f t="shared" si="12"/>
        <v>79.898678627321274</v>
      </c>
      <c r="AD21" s="453">
        <f t="shared" si="18"/>
        <v>49405.898678627324</v>
      </c>
      <c r="AE21" s="453">
        <f t="shared" si="13"/>
        <v>49522</v>
      </c>
      <c r="AF21" s="453">
        <f t="shared" si="14"/>
        <v>0</v>
      </c>
      <c r="AK21" s="487">
        <v>47922</v>
      </c>
      <c r="AL21" s="388">
        <f t="shared" si="15"/>
        <v>47004.685517917089</v>
      </c>
      <c r="AM21" s="388">
        <v>0</v>
      </c>
      <c r="AN21" s="388">
        <f t="shared" si="17"/>
        <v>0</v>
      </c>
      <c r="AO21" s="488">
        <v>200</v>
      </c>
      <c r="AP21" s="551">
        <f t="shared" si="16"/>
        <v>196.1648927183646</v>
      </c>
      <c r="AQ21" s="388">
        <v>48122</v>
      </c>
      <c r="AR21" s="546"/>
      <c r="AS21" s="550"/>
      <c r="AT21" s="22"/>
    </row>
    <row r="22" spans="1:46" ht="19.5" thickBot="1">
      <c r="A22" s="18">
        <v>12</v>
      </c>
      <c r="B22" s="415" t="s">
        <v>900</v>
      </c>
      <c r="C22" s="410">
        <v>48750</v>
      </c>
      <c r="D22" s="410">
        <v>0</v>
      </c>
      <c r="E22" s="410">
        <v>0</v>
      </c>
      <c r="F22" s="410">
        <v>20</v>
      </c>
      <c r="G22" s="411">
        <f t="shared" si="0"/>
        <v>48770</v>
      </c>
      <c r="H22" s="553">
        <v>44950</v>
      </c>
      <c r="I22" s="548">
        <v>0</v>
      </c>
      <c r="J22" s="532">
        <v>0</v>
      </c>
      <c r="K22" s="554">
        <v>16</v>
      </c>
      <c r="L22" s="548">
        <f t="shared" si="1"/>
        <v>44966</v>
      </c>
      <c r="M22" s="388">
        <f t="shared" si="2"/>
        <v>10428400</v>
      </c>
      <c r="N22" s="388">
        <f t="shared" si="3"/>
        <v>0</v>
      </c>
      <c r="O22" s="388">
        <f t="shared" si="4"/>
        <v>0</v>
      </c>
      <c r="P22" s="388">
        <f t="shared" si="5"/>
        <v>3712</v>
      </c>
      <c r="Q22" s="486">
        <f t="shared" si="6"/>
        <v>10432112</v>
      </c>
      <c r="R22" s="721">
        <f t="shared" si="7"/>
        <v>0.92200123026450687</v>
      </c>
      <c r="S22" s="584">
        <f t="shared" si="8"/>
        <v>1564.8168000000001</v>
      </c>
      <c r="T22" s="659"/>
      <c r="U22" s="659"/>
      <c r="V22" s="584">
        <f t="shared" si="9"/>
        <v>92.200123026450683</v>
      </c>
      <c r="W22" s="659">
        <v>67449</v>
      </c>
      <c r="X22" s="659"/>
      <c r="Y22" s="659">
        <f t="shared" si="10"/>
        <v>138.30018453967602</v>
      </c>
      <c r="Z22" s="584">
        <f t="shared" si="11"/>
        <v>1564.8168000000001</v>
      </c>
      <c r="AA22" s="659"/>
      <c r="AB22" s="15">
        <v>44966</v>
      </c>
      <c r="AC22" s="453">
        <f t="shared" si="12"/>
        <v>92.200123026450683</v>
      </c>
      <c r="AD22" s="453">
        <f t="shared" si="18"/>
        <v>45042.20012302645</v>
      </c>
      <c r="AE22" s="453">
        <f t="shared" si="13"/>
        <v>44966</v>
      </c>
      <c r="AF22" s="453">
        <f t="shared" si="14"/>
        <v>0</v>
      </c>
      <c r="AK22" s="487">
        <v>37850</v>
      </c>
      <c r="AL22" s="388">
        <f t="shared" si="15"/>
        <v>37125.481967638283</v>
      </c>
      <c r="AM22" s="388">
        <v>0</v>
      </c>
      <c r="AN22" s="388">
        <f t="shared" si="17"/>
        <v>0</v>
      </c>
      <c r="AO22" s="488">
        <v>16</v>
      </c>
      <c r="AP22" s="551">
        <f t="shared" si="16"/>
        <v>15.693191417469167</v>
      </c>
      <c r="AQ22" s="388">
        <v>37866</v>
      </c>
      <c r="AR22" s="546"/>
      <c r="AS22" s="550"/>
      <c r="AT22" s="22"/>
    </row>
    <row r="23" spans="1:46" ht="19.5" thickBot="1">
      <c r="A23" s="18">
        <v>13</v>
      </c>
      <c r="B23" s="415" t="s">
        <v>901</v>
      </c>
      <c r="C23" s="410">
        <v>47084</v>
      </c>
      <c r="D23" s="410">
        <v>0</v>
      </c>
      <c r="E23" s="410">
        <v>0</v>
      </c>
      <c r="F23" s="410">
        <v>151</v>
      </c>
      <c r="G23" s="411">
        <f t="shared" si="0"/>
        <v>47235</v>
      </c>
      <c r="H23" s="553">
        <v>24558</v>
      </c>
      <c r="I23" s="548">
        <v>0</v>
      </c>
      <c r="J23" s="532">
        <v>0</v>
      </c>
      <c r="K23" s="554">
        <v>115</v>
      </c>
      <c r="L23" s="548">
        <f t="shared" si="1"/>
        <v>24673</v>
      </c>
      <c r="M23" s="388">
        <f t="shared" si="2"/>
        <v>5697456</v>
      </c>
      <c r="N23" s="388">
        <f t="shared" si="3"/>
        <v>0</v>
      </c>
      <c r="O23" s="388">
        <f t="shared" si="4"/>
        <v>0</v>
      </c>
      <c r="P23" s="388">
        <f t="shared" si="5"/>
        <v>26680</v>
      </c>
      <c r="Q23" s="486">
        <f t="shared" si="6"/>
        <v>5724136</v>
      </c>
      <c r="R23" s="721">
        <f t="shared" si="7"/>
        <v>0.52234571821742348</v>
      </c>
      <c r="S23" s="584">
        <f t="shared" si="8"/>
        <v>858.62040000000002</v>
      </c>
      <c r="T23" s="659"/>
      <c r="U23" s="659"/>
      <c r="V23" s="584">
        <f t="shared" si="9"/>
        <v>52.23457182174235</v>
      </c>
      <c r="W23" s="659">
        <v>37009.5</v>
      </c>
      <c r="X23" s="659"/>
      <c r="Y23" s="659">
        <f t="shared" si="10"/>
        <v>78.351857732613524</v>
      </c>
      <c r="Z23" s="584">
        <f t="shared" si="11"/>
        <v>858.62040000000002</v>
      </c>
      <c r="AA23" s="659"/>
      <c r="AB23" s="15">
        <v>24673</v>
      </c>
      <c r="AC23" s="453">
        <f t="shared" si="12"/>
        <v>52.23457182174235</v>
      </c>
      <c r="AD23" s="453">
        <f t="shared" si="18"/>
        <v>24610.234571821744</v>
      </c>
      <c r="AE23" s="453">
        <f t="shared" si="13"/>
        <v>24673</v>
      </c>
      <c r="AF23" s="453">
        <f t="shared" si="14"/>
        <v>0</v>
      </c>
      <c r="AK23" s="487">
        <v>36556</v>
      </c>
      <c r="AL23" s="388">
        <f t="shared" si="15"/>
        <v>35856.251487687849</v>
      </c>
      <c r="AM23" s="388">
        <v>0</v>
      </c>
      <c r="AN23" s="388">
        <f t="shared" si="17"/>
        <v>0</v>
      </c>
      <c r="AO23" s="488">
        <v>117</v>
      </c>
      <c r="AP23" s="551">
        <f t="shared" si="16"/>
        <v>114.75646224024328</v>
      </c>
      <c r="AQ23" s="388">
        <v>36673</v>
      </c>
      <c r="AR23" s="546"/>
      <c r="AS23" s="550"/>
      <c r="AT23" s="22"/>
    </row>
    <row r="24" spans="1:46" ht="19.5" thickBot="1">
      <c r="A24" s="18">
        <v>14</v>
      </c>
      <c r="B24" s="415" t="s">
        <v>902</v>
      </c>
      <c r="C24" s="410">
        <v>77748</v>
      </c>
      <c r="D24" s="410">
        <v>0</v>
      </c>
      <c r="E24" s="410">
        <v>0</v>
      </c>
      <c r="F24" s="410">
        <v>84</v>
      </c>
      <c r="G24" s="411">
        <f t="shared" si="0"/>
        <v>77832</v>
      </c>
      <c r="H24" s="553">
        <v>61965</v>
      </c>
      <c r="I24" s="548">
        <v>0</v>
      </c>
      <c r="J24" s="532">
        <v>0</v>
      </c>
      <c r="K24" s="554">
        <v>64</v>
      </c>
      <c r="L24" s="548">
        <f t="shared" si="1"/>
        <v>62029</v>
      </c>
      <c r="M24" s="388">
        <f t="shared" si="2"/>
        <v>14375880</v>
      </c>
      <c r="N24" s="388">
        <f t="shared" si="3"/>
        <v>0</v>
      </c>
      <c r="O24" s="388">
        <f t="shared" si="4"/>
        <v>0</v>
      </c>
      <c r="P24" s="388">
        <f t="shared" si="5"/>
        <v>14848</v>
      </c>
      <c r="Q24" s="486">
        <f t="shared" si="6"/>
        <v>14390728</v>
      </c>
      <c r="R24" s="721">
        <f t="shared" si="7"/>
        <v>0.79696011923116461</v>
      </c>
      <c r="S24" s="584">
        <f t="shared" si="8"/>
        <v>2158.6091999999999</v>
      </c>
      <c r="T24" s="659"/>
      <c r="U24" s="659"/>
      <c r="V24" s="584">
        <f t="shared" si="9"/>
        <v>79.696011923116458</v>
      </c>
      <c r="W24" s="659">
        <v>93043.5</v>
      </c>
      <c r="X24" s="659"/>
      <c r="Y24" s="659">
        <f t="shared" si="10"/>
        <v>119.54401788467467</v>
      </c>
      <c r="Z24" s="584">
        <f t="shared" si="11"/>
        <v>2158.6091999999999</v>
      </c>
      <c r="AA24" s="659"/>
      <c r="AB24" s="15">
        <v>62029</v>
      </c>
      <c r="AC24" s="453">
        <f t="shared" si="12"/>
        <v>79.696011923116458</v>
      </c>
      <c r="AD24" s="453">
        <f t="shared" si="18"/>
        <v>62044.696011923115</v>
      </c>
      <c r="AE24" s="453">
        <f t="shared" si="13"/>
        <v>62029</v>
      </c>
      <c r="AF24" s="453">
        <f t="shared" si="14"/>
        <v>0</v>
      </c>
      <c r="AK24" s="487">
        <v>60364</v>
      </c>
      <c r="AL24" s="388">
        <f t="shared" si="15"/>
        <v>59208.522945693985</v>
      </c>
      <c r="AM24" s="388">
        <v>0</v>
      </c>
      <c r="AN24" s="388">
        <f t="shared" si="17"/>
        <v>0</v>
      </c>
      <c r="AO24" s="488">
        <v>65</v>
      </c>
      <c r="AP24" s="551">
        <f t="shared" si="16"/>
        <v>63.753590133468492</v>
      </c>
      <c r="AQ24" s="388">
        <v>60429</v>
      </c>
      <c r="AR24" s="546"/>
      <c r="AS24" s="550"/>
      <c r="AT24" s="22"/>
    </row>
    <row r="25" spans="1:46" s="377" customFormat="1" ht="19.5" thickBot="1">
      <c r="A25" s="376">
        <v>15</v>
      </c>
      <c r="B25" s="415" t="s">
        <v>903</v>
      </c>
      <c r="C25" s="410">
        <v>54752</v>
      </c>
      <c r="D25" s="410">
        <v>0</v>
      </c>
      <c r="E25" s="410">
        <v>0</v>
      </c>
      <c r="F25" s="410">
        <v>0</v>
      </c>
      <c r="G25" s="411">
        <f t="shared" si="0"/>
        <v>54752</v>
      </c>
      <c r="H25" s="553">
        <v>32110</v>
      </c>
      <c r="I25" s="548">
        <v>0</v>
      </c>
      <c r="J25" s="532">
        <v>0</v>
      </c>
      <c r="K25" s="554">
        <v>0</v>
      </c>
      <c r="L25" s="548">
        <f t="shared" si="1"/>
        <v>32110</v>
      </c>
      <c r="M25" s="388">
        <f t="shared" si="2"/>
        <v>7449520</v>
      </c>
      <c r="N25" s="388">
        <f t="shared" si="3"/>
        <v>0</v>
      </c>
      <c r="O25" s="388">
        <f t="shared" si="4"/>
        <v>0</v>
      </c>
      <c r="P25" s="388">
        <f t="shared" si="5"/>
        <v>0</v>
      </c>
      <c r="Q25" s="486">
        <f t="shared" si="6"/>
        <v>7449520</v>
      </c>
      <c r="R25" s="721">
        <f t="shared" si="7"/>
        <v>0.58646259497369957</v>
      </c>
      <c r="S25" s="584">
        <f t="shared" si="8"/>
        <v>1117.4280000000001</v>
      </c>
      <c r="T25" s="659"/>
      <c r="U25" s="659"/>
      <c r="V25" s="584">
        <f t="shared" si="9"/>
        <v>58.646259497369954</v>
      </c>
      <c r="W25" s="659">
        <v>54759.827586206899</v>
      </c>
      <c r="X25" s="659"/>
      <c r="Y25" s="659">
        <f t="shared" si="10"/>
        <v>100.01429643886415</v>
      </c>
      <c r="Z25" s="584">
        <f t="shared" si="11"/>
        <v>1117.4280000000001</v>
      </c>
      <c r="AA25" s="659"/>
      <c r="AB25" s="377">
        <v>32110</v>
      </c>
      <c r="AC25" s="453">
        <f t="shared" si="12"/>
        <v>58.646259497369954</v>
      </c>
      <c r="AD25" s="453">
        <f t="shared" si="18"/>
        <v>32168.646259497371</v>
      </c>
      <c r="AE25" s="453">
        <f t="shared" si="13"/>
        <v>32110</v>
      </c>
      <c r="AF25" s="453">
        <f t="shared" si="14"/>
        <v>0</v>
      </c>
      <c r="AG25" s="622"/>
      <c r="AH25" s="622"/>
      <c r="AI25" s="622"/>
      <c r="AJ25" s="622"/>
      <c r="AK25" s="487">
        <v>42510</v>
      </c>
      <c r="AL25" s="388">
        <f t="shared" si="15"/>
        <v>41696.281068541706</v>
      </c>
      <c r="AM25" s="388">
        <v>0</v>
      </c>
      <c r="AN25" s="388">
        <f t="shared" si="17"/>
        <v>0</v>
      </c>
      <c r="AO25" s="488">
        <v>0</v>
      </c>
      <c r="AP25" s="551">
        <f t="shared" si="16"/>
        <v>0</v>
      </c>
      <c r="AQ25" s="388">
        <v>42510</v>
      </c>
      <c r="AR25" s="546"/>
      <c r="AS25" s="550"/>
      <c r="AT25" s="22"/>
    </row>
    <row r="26" spans="1:46" s="377" customFormat="1" ht="19.5" thickBot="1">
      <c r="A26" s="376">
        <v>16</v>
      </c>
      <c r="B26" s="415" t="s">
        <v>904</v>
      </c>
      <c r="C26" s="410">
        <v>48123</v>
      </c>
      <c r="D26" s="410">
        <v>0</v>
      </c>
      <c r="E26" s="410">
        <v>0</v>
      </c>
      <c r="F26" s="410">
        <v>75</v>
      </c>
      <c r="G26" s="411">
        <f t="shared" si="0"/>
        <v>48198</v>
      </c>
      <c r="H26" s="553">
        <v>47364</v>
      </c>
      <c r="I26" s="548">
        <v>0</v>
      </c>
      <c r="J26" s="532">
        <v>0</v>
      </c>
      <c r="K26" s="554">
        <v>57</v>
      </c>
      <c r="L26" s="548">
        <f t="shared" si="1"/>
        <v>47421</v>
      </c>
      <c r="M26" s="388">
        <f t="shared" si="2"/>
        <v>10988448</v>
      </c>
      <c r="N26" s="388">
        <f t="shared" si="3"/>
        <v>0</v>
      </c>
      <c r="O26" s="388">
        <f t="shared" si="4"/>
        <v>0</v>
      </c>
      <c r="P26" s="388">
        <f t="shared" si="5"/>
        <v>13224</v>
      </c>
      <c r="Q26" s="486">
        <f t="shared" si="6"/>
        <v>11001672</v>
      </c>
      <c r="R26" s="721">
        <f t="shared" si="7"/>
        <v>0.98387899912859456</v>
      </c>
      <c r="S26" s="584">
        <f t="shared" si="8"/>
        <v>1650.2508</v>
      </c>
      <c r="T26" s="659"/>
      <c r="U26" s="659"/>
      <c r="V26" s="584">
        <f t="shared" si="9"/>
        <v>98.387899912859453</v>
      </c>
      <c r="W26" s="659">
        <v>61088.396551724138</v>
      </c>
      <c r="X26" s="659"/>
      <c r="Y26" s="659">
        <f t="shared" si="10"/>
        <v>126.74467104801887</v>
      </c>
      <c r="Z26" s="584">
        <f t="shared" si="11"/>
        <v>1650.2508</v>
      </c>
      <c r="AA26" s="659"/>
      <c r="AB26" s="377">
        <v>47421</v>
      </c>
      <c r="AC26" s="453">
        <f t="shared" si="12"/>
        <v>98.387899912859453</v>
      </c>
      <c r="AD26" s="453">
        <f t="shared" si="18"/>
        <v>47462.387899912857</v>
      </c>
      <c r="AE26" s="453">
        <f t="shared" si="13"/>
        <v>47421</v>
      </c>
      <c r="AF26" s="453">
        <f t="shared" si="14"/>
        <v>0</v>
      </c>
      <c r="AG26" s="622"/>
      <c r="AH26" s="622"/>
      <c r="AI26" s="622"/>
      <c r="AJ26" s="622"/>
      <c r="AK26" s="487">
        <v>37363</v>
      </c>
      <c r="AL26" s="388">
        <f t="shared" si="15"/>
        <v>36647.804035848596</v>
      </c>
      <c r="AM26" s="388">
        <v>0</v>
      </c>
      <c r="AN26" s="388">
        <f t="shared" si="17"/>
        <v>0</v>
      </c>
      <c r="AO26" s="488">
        <v>58</v>
      </c>
      <c r="AP26" s="551">
        <f t="shared" si="16"/>
        <v>56.887818888325732</v>
      </c>
      <c r="AQ26" s="388">
        <v>37421</v>
      </c>
      <c r="AR26" s="546"/>
      <c r="AS26" s="550"/>
      <c r="AT26" s="22"/>
    </row>
    <row r="27" spans="1:46" s="377" customFormat="1" ht="19.5" thickBot="1">
      <c r="A27" s="376">
        <v>17</v>
      </c>
      <c r="B27" s="415" t="s">
        <v>905</v>
      </c>
      <c r="C27" s="412">
        <v>106798</v>
      </c>
      <c r="D27" s="410">
        <v>0</v>
      </c>
      <c r="E27" s="412">
        <v>0</v>
      </c>
      <c r="F27" s="412">
        <v>1512</v>
      </c>
      <c r="G27" s="411">
        <f t="shared" si="0"/>
        <v>108310</v>
      </c>
      <c r="H27" s="553">
        <v>79841</v>
      </c>
      <c r="I27" s="548">
        <v>0</v>
      </c>
      <c r="J27" s="532">
        <v>0</v>
      </c>
      <c r="K27" s="554">
        <v>1151</v>
      </c>
      <c r="L27" s="548">
        <f t="shared" si="1"/>
        <v>80992</v>
      </c>
      <c r="M27" s="388">
        <f t="shared" si="2"/>
        <v>18523112</v>
      </c>
      <c r="N27" s="388">
        <f t="shared" si="3"/>
        <v>0</v>
      </c>
      <c r="O27" s="388">
        <f t="shared" si="4"/>
        <v>0</v>
      </c>
      <c r="P27" s="388">
        <f t="shared" si="5"/>
        <v>267032</v>
      </c>
      <c r="Q27" s="486">
        <f t="shared" si="6"/>
        <v>18790144</v>
      </c>
      <c r="R27" s="721">
        <f t="shared" si="7"/>
        <v>0.74777952174314466</v>
      </c>
      <c r="S27" s="584">
        <f t="shared" si="8"/>
        <v>2818.5216</v>
      </c>
      <c r="T27" s="659"/>
      <c r="U27" s="659"/>
      <c r="V27" s="584">
        <f t="shared" si="9"/>
        <v>74.777952174314464</v>
      </c>
      <c r="W27" s="659">
        <v>121488</v>
      </c>
      <c r="X27" s="659"/>
      <c r="Y27" s="659">
        <f t="shared" si="10"/>
        <v>112.1669282614717</v>
      </c>
      <c r="Z27" s="584">
        <f t="shared" si="11"/>
        <v>2818.5216</v>
      </c>
      <c r="AA27" s="659"/>
      <c r="AB27" s="377">
        <v>80992</v>
      </c>
      <c r="AC27" s="453">
        <f t="shared" si="12"/>
        <v>74.777952174314464</v>
      </c>
      <c r="AD27" s="453">
        <f t="shared" si="18"/>
        <v>79915.777952174321</v>
      </c>
      <c r="AE27" s="453">
        <f t="shared" si="13"/>
        <v>80992</v>
      </c>
      <c r="AF27" s="453">
        <f t="shared" si="14"/>
        <v>0</v>
      </c>
      <c r="AG27" s="622"/>
      <c r="AH27" s="622"/>
      <c r="AI27" s="622"/>
      <c r="AJ27" s="622"/>
      <c r="AK27" s="487">
        <v>82918</v>
      </c>
      <c r="AL27" s="388">
        <f t="shared" si="15"/>
        <v>81330.79825079607</v>
      </c>
      <c r="AM27" s="388">
        <v>0</v>
      </c>
      <c r="AN27" s="388">
        <f t="shared" si="17"/>
        <v>0</v>
      </c>
      <c r="AO27" s="488">
        <v>1174</v>
      </c>
      <c r="AP27" s="551">
        <f t="shared" si="16"/>
        <v>1151.4879202568002</v>
      </c>
      <c r="AQ27" s="388">
        <v>84092</v>
      </c>
      <c r="AR27" s="546"/>
      <c r="AS27" s="550"/>
      <c r="AT27" s="22"/>
    </row>
    <row r="28" spans="1:46" s="377" customFormat="1" ht="19.5" thickBot="1">
      <c r="A28" s="376">
        <v>18</v>
      </c>
      <c r="B28" s="415" t="s">
        <v>906</v>
      </c>
      <c r="C28" s="410">
        <v>26637</v>
      </c>
      <c r="D28" s="410">
        <v>0</v>
      </c>
      <c r="E28" s="410">
        <v>0</v>
      </c>
      <c r="F28" s="410">
        <v>351</v>
      </c>
      <c r="G28" s="411">
        <f t="shared" si="0"/>
        <v>26988</v>
      </c>
      <c r="H28" s="553">
        <v>23786</v>
      </c>
      <c r="I28" s="548">
        <v>0</v>
      </c>
      <c r="J28" s="532">
        <v>0</v>
      </c>
      <c r="K28" s="554">
        <v>268</v>
      </c>
      <c r="L28" s="548">
        <f t="shared" si="1"/>
        <v>24054</v>
      </c>
      <c r="M28" s="388">
        <f t="shared" si="2"/>
        <v>5518352</v>
      </c>
      <c r="N28" s="388">
        <f t="shared" si="3"/>
        <v>0</v>
      </c>
      <c r="O28" s="388">
        <f t="shared" si="4"/>
        <v>0</v>
      </c>
      <c r="P28" s="388">
        <f t="shared" si="5"/>
        <v>62176</v>
      </c>
      <c r="Q28" s="486">
        <f t="shared" si="6"/>
        <v>5580528</v>
      </c>
      <c r="R28" s="721">
        <f t="shared" si="7"/>
        <v>0.89128501556247219</v>
      </c>
      <c r="S28" s="584">
        <f t="shared" si="8"/>
        <v>837.07920000000001</v>
      </c>
      <c r="T28" s="659"/>
      <c r="U28" s="659"/>
      <c r="V28" s="584">
        <f t="shared" si="9"/>
        <v>89.128501556247215</v>
      </c>
      <c r="W28" s="659">
        <v>46581</v>
      </c>
      <c r="X28" s="659"/>
      <c r="Y28" s="659">
        <f t="shared" si="10"/>
        <v>172.59893285904846</v>
      </c>
      <c r="Z28" s="584">
        <f t="shared" si="11"/>
        <v>837.07920000000001</v>
      </c>
      <c r="AA28" s="659"/>
      <c r="AB28" s="377">
        <v>31054</v>
      </c>
      <c r="AC28" s="453">
        <f t="shared" si="12"/>
        <v>89.128501556247215</v>
      </c>
      <c r="AD28" s="453">
        <f t="shared" si="18"/>
        <v>23875.128501556246</v>
      </c>
      <c r="AE28" s="453">
        <f t="shared" si="13"/>
        <v>24054</v>
      </c>
      <c r="AF28" s="453">
        <f t="shared" si="14"/>
        <v>0</v>
      </c>
      <c r="AG28" s="622"/>
      <c r="AH28" s="622"/>
      <c r="AI28" s="622"/>
      <c r="AJ28" s="622"/>
      <c r="AK28" s="487">
        <v>20681</v>
      </c>
      <c r="AL28" s="388">
        <f t="shared" si="15"/>
        <v>20285.127941155282</v>
      </c>
      <c r="AM28" s="388">
        <v>0</v>
      </c>
      <c r="AN28" s="388">
        <f t="shared" si="17"/>
        <v>0</v>
      </c>
      <c r="AO28" s="488">
        <v>273</v>
      </c>
      <c r="AP28" s="551">
        <f t="shared" si="16"/>
        <v>267.76507856056764</v>
      </c>
      <c r="AQ28" s="388">
        <v>20954</v>
      </c>
      <c r="AR28" s="546"/>
      <c r="AS28" s="550"/>
      <c r="AT28" s="22"/>
    </row>
    <row r="29" spans="1:46" s="377" customFormat="1" ht="19.5" thickBot="1">
      <c r="A29" s="376">
        <v>19</v>
      </c>
      <c r="B29" s="415" t="s">
        <v>907</v>
      </c>
      <c r="C29" s="410">
        <v>66963</v>
      </c>
      <c r="D29" s="410">
        <v>0</v>
      </c>
      <c r="E29" s="410">
        <v>0</v>
      </c>
      <c r="F29" s="410">
        <v>111</v>
      </c>
      <c r="G29" s="411">
        <f t="shared" si="0"/>
        <v>67074</v>
      </c>
      <c r="H29" s="553">
        <v>44992</v>
      </c>
      <c r="I29" s="548">
        <v>0</v>
      </c>
      <c r="J29" s="532">
        <v>0</v>
      </c>
      <c r="K29" s="554">
        <v>84</v>
      </c>
      <c r="L29" s="548">
        <f t="shared" si="1"/>
        <v>45076</v>
      </c>
      <c r="M29" s="388">
        <f t="shared" si="2"/>
        <v>10438144</v>
      </c>
      <c r="N29" s="388">
        <f t="shared" si="3"/>
        <v>0</v>
      </c>
      <c r="O29" s="388">
        <f t="shared" si="4"/>
        <v>0</v>
      </c>
      <c r="P29" s="388">
        <f t="shared" si="5"/>
        <v>19488</v>
      </c>
      <c r="Q29" s="486">
        <f t="shared" si="6"/>
        <v>10457632</v>
      </c>
      <c r="R29" s="721">
        <f t="shared" si="7"/>
        <v>0.67203387303575157</v>
      </c>
      <c r="S29" s="584">
        <f t="shared" si="8"/>
        <v>1568.6448</v>
      </c>
      <c r="T29" s="659"/>
      <c r="U29" s="659"/>
      <c r="V29" s="584">
        <f t="shared" si="9"/>
        <v>67.203387303575155</v>
      </c>
      <c r="W29" s="659">
        <v>67614</v>
      </c>
      <c r="X29" s="659"/>
      <c r="Y29" s="659">
        <f t="shared" si="10"/>
        <v>100.80508095536274</v>
      </c>
      <c r="Z29" s="584">
        <f t="shared" si="11"/>
        <v>1568.6448</v>
      </c>
      <c r="AA29" s="659"/>
      <c r="AB29" s="377">
        <v>45076</v>
      </c>
      <c r="AC29" s="453">
        <f t="shared" si="12"/>
        <v>67.203387303575155</v>
      </c>
      <c r="AD29" s="453">
        <f t="shared" si="18"/>
        <v>45059.203387303576</v>
      </c>
      <c r="AE29" s="453">
        <f t="shared" si="13"/>
        <v>45076</v>
      </c>
      <c r="AF29" s="453">
        <f t="shared" si="14"/>
        <v>0</v>
      </c>
      <c r="AG29" s="622"/>
      <c r="AH29" s="622"/>
      <c r="AI29" s="622"/>
      <c r="AJ29" s="622"/>
      <c r="AK29" s="487">
        <v>51990</v>
      </c>
      <c r="AL29" s="388">
        <f t="shared" si="15"/>
        <v>50994.816578534068</v>
      </c>
      <c r="AM29" s="388">
        <v>0</v>
      </c>
      <c r="AN29" s="388">
        <f t="shared" si="17"/>
        <v>0</v>
      </c>
      <c r="AO29" s="488">
        <v>86</v>
      </c>
      <c r="AP29" s="551">
        <f t="shared" si="16"/>
        <v>84.350903868896779</v>
      </c>
      <c r="AQ29" s="388">
        <v>52076</v>
      </c>
      <c r="AR29" s="546"/>
      <c r="AS29" s="550"/>
      <c r="AT29" s="22"/>
    </row>
    <row r="30" spans="1:46" s="377" customFormat="1" ht="19.5" thickBot="1">
      <c r="A30" s="376">
        <v>20</v>
      </c>
      <c r="B30" s="415" t="s">
        <v>908</v>
      </c>
      <c r="C30" s="410">
        <v>52994</v>
      </c>
      <c r="D30" s="410">
        <v>0</v>
      </c>
      <c r="E30" s="410">
        <v>105</v>
      </c>
      <c r="F30" s="410">
        <v>265</v>
      </c>
      <c r="G30" s="411">
        <f t="shared" si="0"/>
        <v>53364</v>
      </c>
      <c r="H30" s="553">
        <v>40151</v>
      </c>
      <c r="I30" s="548">
        <v>0</v>
      </c>
      <c r="J30" s="532">
        <v>80</v>
      </c>
      <c r="K30" s="554">
        <v>202</v>
      </c>
      <c r="L30" s="548">
        <f t="shared" si="1"/>
        <v>40433</v>
      </c>
      <c r="M30" s="388">
        <f t="shared" si="2"/>
        <v>9315032</v>
      </c>
      <c r="N30" s="388">
        <f t="shared" si="3"/>
        <v>0</v>
      </c>
      <c r="O30" s="388">
        <f t="shared" si="4"/>
        <v>18560</v>
      </c>
      <c r="P30" s="388">
        <f t="shared" si="5"/>
        <v>46864</v>
      </c>
      <c r="Q30" s="486">
        <f t="shared" si="6"/>
        <v>9380456</v>
      </c>
      <c r="R30" s="721">
        <f t="shared" si="7"/>
        <v>0.75768308222771907</v>
      </c>
      <c r="S30" s="584">
        <f t="shared" si="8"/>
        <v>1407.0684000000001</v>
      </c>
      <c r="T30" s="659"/>
      <c r="U30" s="659"/>
      <c r="V30" s="584">
        <f t="shared" si="9"/>
        <v>75.768308222771907</v>
      </c>
      <c r="W30" s="659">
        <v>60649.5</v>
      </c>
      <c r="X30" s="659"/>
      <c r="Y30" s="659">
        <f t="shared" si="10"/>
        <v>113.65246233415786</v>
      </c>
      <c r="Z30" s="584">
        <f t="shared" si="11"/>
        <v>1407.0684000000001</v>
      </c>
      <c r="AA30" s="659"/>
      <c r="AB30" s="377">
        <v>40433</v>
      </c>
      <c r="AC30" s="453">
        <f t="shared" si="12"/>
        <v>75.768308222771907</v>
      </c>
      <c r="AD30" s="453">
        <f t="shared" si="18"/>
        <v>40226.768308222774</v>
      </c>
      <c r="AE30" s="453">
        <f t="shared" si="13"/>
        <v>40433</v>
      </c>
      <c r="AF30" s="453">
        <f t="shared" si="14"/>
        <v>0</v>
      </c>
      <c r="AG30" s="622"/>
      <c r="AH30" s="622"/>
      <c r="AI30" s="622"/>
      <c r="AJ30" s="622"/>
      <c r="AK30" s="487">
        <v>41145</v>
      </c>
      <c r="AL30" s="388">
        <f t="shared" si="15"/>
        <v>40357.40965808394</v>
      </c>
      <c r="AM30" s="388">
        <v>82</v>
      </c>
      <c r="AN30" s="388">
        <f t="shared" si="17"/>
        <v>80.466535433070874</v>
      </c>
      <c r="AO30" s="488">
        <v>206</v>
      </c>
      <c r="AP30" s="551">
        <f t="shared" si="16"/>
        <v>202.04983949991552</v>
      </c>
      <c r="AQ30" s="388">
        <v>41433</v>
      </c>
      <c r="AR30" s="546"/>
      <c r="AS30" s="550"/>
      <c r="AT30" s="22"/>
    </row>
    <row r="31" spans="1:46" s="377" customFormat="1" ht="19.5" thickBot="1">
      <c r="A31" s="376">
        <v>21</v>
      </c>
      <c r="B31" s="415" t="s">
        <v>909</v>
      </c>
      <c r="C31" s="410">
        <v>38910</v>
      </c>
      <c r="D31" s="410">
        <v>0</v>
      </c>
      <c r="E31" s="410">
        <v>0</v>
      </c>
      <c r="F31" s="410">
        <v>176</v>
      </c>
      <c r="G31" s="411">
        <f t="shared" si="0"/>
        <v>39086</v>
      </c>
      <c r="H31" s="553">
        <v>32213</v>
      </c>
      <c r="I31" s="548">
        <v>0</v>
      </c>
      <c r="J31" s="532">
        <v>0</v>
      </c>
      <c r="K31" s="554">
        <v>134</v>
      </c>
      <c r="L31" s="548">
        <f t="shared" si="1"/>
        <v>32347</v>
      </c>
      <c r="M31" s="388">
        <f t="shared" si="2"/>
        <v>7473416</v>
      </c>
      <c r="N31" s="388">
        <f t="shared" si="3"/>
        <v>0</v>
      </c>
      <c r="O31" s="388">
        <f t="shared" si="4"/>
        <v>0</v>
      </c>
      <c r="P31" s="388">
        <f t="shared" si="5"/>
        <v>31088</v>
      </c>
      <c r="Q31" s="486">
        <f t="shared" si="6"/>
        <v>7504504</v>
      </c>
      <c r="R31" s="721">
        <f t="shared" si="7"/>
        <v>0.82758532466867929</v>
      </c>
      <c r="S31" s="584">
        <f t="shared" si="8"/>
        <v>1125.6756</v>
      </c>
      <c r="T31" s="659"/>
      <c r="U31" s="659"/>
      <c r="V31" s="584">
        <f t="shared" si="9"/>
        <v>82.758532466867933</v>
      </c>
      <c r="W31" s="659">
        <v>48520.5</v>
      </c>
      <c r="X31" s="659"/>
      <c r="Y31" s="659">
        <f t="shared" si="10"/>
        <v>124.1377987003019</v>
      </c>
      <c r="Z31" s="584">
        <f t="shared" si="11"/>
        <v>1125.6756</v>
      </c>
      <c r="AA31" s="659"/>
      <c r="AB31" s="377">
        <v>32347</v>
      </c>
      <c r="AC31" s="453">
        <f t="shared" si="12"/>
        <v>82.758532466867933</v>
      </c>
      <c r="AD31" s="453">
        <f t="shared" si="18"/>
        <v>32295.758532466869</v>
      </c>
      <c r="AE31" s="453">
        <f t="shared" si="13"/>
        <v>32347</v>
      </c>
      <c r="AF31" s="453">
        <f t="shared" si="14"/>
        <v>0</v>
      </c>
      <c r="AG31" s="622"/>
      <c r="AH31" s="622"/>
      <c r="AI31" s="622"/>
      <c r="AJ31" s="622"/>
      <c r="AK31" s="487">
        <v>30210</v>
      </c>
      <c r="AL31" s="388">
        <f t="shared" si="15"/>
        <v>29631.72550177946</v>
      </c>
      <c r="AM31" s="388">
        <v>0</v>
      </c>
      <c r="AN31" s="388">
        <f t="shared" si="17"/>
        <v>0</v>
      </c>
      <c r="AO31" s="488">
        <v>137</v>
      </c>
      <c r="AP31" s="551">
        <f t="shared" si="16"/>
        <v>134.37295151207974</v>
      </c>
      <c r="AQ31" s="388">
        <v>30347</v>
      </c>
      <c r="AR31" s="546"/>
      <c r="AS31" s="550"/>
      <c r="AT31" s="22"/>
    </row>
    <row r="32" spans="1:46" s="377" customFormat="1" ht="19.5" thickBot="1">
      <c r="A32" s="376">
        <v>22</v>
      </c>
      <c r="B32" s="415" t="s">
        <v>910</v>
      </c>
      <c r="C32" s="410">
        <v>98708</v>
      </c>
      <c r="D32" s="410">
        <v>0</v>
      </c>
      <c r="E32" s="410">
        <v>0</v>
      </c>
      <c r="F32" s="410">
        <v>1494</v>
      </c>
      <c r="G32" s="411">
        <f t="shared" si="0"/>
        <v>100202</v>
      </c>
      <c r="H32" s="553">
        <v>64659</v>
      </c>
      <c r="I32" s="548">
        <v>0</v>
      </c>
      <c r="J32" s="532">
        <v>0</v>
      </c>
      <c r="K32" s="554">
        <v>1138</v>
      </c>
      <c r="L32" s="548">
        <f t="shared" si="1"/>
        <v>65797</v>
      </c>
      <c r="M32" s="388">
        <f t="shared" si="2"/>
        <v>15000888</v>
      </c>
      <c r="N32" s="388">
        <f t="shared" si="3"/>
        <v>0</v>
      </c>
      <c r="O32" s="388">
        <f t="shared" si="4"/>
        <v>0</v>
      </c>
      <c r="P32" s="388">
        <f t="shared" si="5"/>
        <v>264016</v>
      </c>
      <c r="Q32" s="486">
        <f t="shared" si="6"/>
        <v>15264904</v>
      </c>
      <c r="R32" s="721">
        <f t="shared" si="7"/>
        <v>0.65664357996846368</v>
      </c>
      <c r="S32" s="584">
        <f t="shared" si="8"/>
        <v>2289.7356</v>
      </c>
      <c r="T32" s="659"/>
      <c r="U32" s="659"/>
      <c r="V32" s="584">
        <f t="shared" si="9"/>
        <v>65.664357996846363</v>
      </c>
      <c r="W32" s="659">
        <v>98695.5</v>
      </c>
      <c r="X32" s="659"/>
      <c r="Y32" s="659">
        <f t="shared" si="10"/>
        <v>98.496536995269551</v>
      </c>
      <c r="Z32" s="584">
        <f t="shared" si="11"/>
        <v>2289.7356</v>
      </c>
      <c r="AA32" s="659"/>
      <c r="AB32" s="377">
        <v>65797</v>
      </c>
      <c r="AC32" s="453">
        <f t="shared" si="12"/>
        <v>65.664357996846363</v>
      </c>
      <c r="AD32" s="453">
        <f t="shared" si="18"/>
        <v>64724.664357996844</v>
      </c>
      <c r="AE32" s="453">
        <f t="shared" si="13"/>
        <v>65797</v>
      </c>
      <c r="AF32" s="453">
        <f t="shared" si="14"/>
        <v>0</v>
      </c>
      <c r="AG32" s="622"/>
      <c r="AH32" s="622"/>
      <c r="AI32" s="622"/>
      <c r="AJ32" s="622"/>
      <c r="AK32" s="487">
        <v>76637</v>
      </c>
      <c r="AL32" s="388">
        <f t="shared" si="15"/>
        <v>75170.028046338048</v>
      </c>
      <c r="AM32" s="388">
        <v>0</v>
      </c>
      <c r="AN32" s="388">
        <f t="shared" si="17"/>
        <v>0</v>
      </c>
      <c r="AO32" s="488">
        <v>1160</v>
      </c>
      <c r="AP32" s="551">
        <f t="shared" si="16"/>
        <v>1137.7563777665146</v>
      </c>
      <c r="AQ32" s="388">
        <v>77797</v>
      </c>
      <c r="AR32" s="546"/>
      <c r="AS32" s="550"/>
      <c r="AT32" s="22"/>
    </row>
    <row r="33" spans="1:46" s="377" customFormat="1" ht="19.5" thickBot="1">
      <c r="A33" s="376">
        <v>23</v>
      </c>
      <c r="B33" s="415" t="s">
        <v>911</v>
      </c>
      <c r="C33" s="410">
        <v>45030</v>
      </c>
      <c r="D33" s="410">
        <v>0</v>
      </c>
      <c r="E33" s="410">
        <v>0</v>
      </c>
      <c r="F33" s="410">
        <v>0</v>
      </c>
      <c r="G33" s="411">
        <f t="shared" si="0"/>
        <v>45030</v>
      </c>
      <c r="H33" s="553">
        <v>30961</v>
      </c>
      <c r="I33" s="548">
        <v>0</v>
      </c>
      <c r="J33" s="532">
        <v>0</v>
      </c>
      <c r="K33" s="554">
        <v>0</v>
      </c>
      <c r="L33" s="548">
        <f t="shared" si="1"/>
        <v>30961</v>
      </c>
      <c r="M33" s="388">
        <f t="shared" si="2"/>
        <v>7182952</v>
      </c>
      <c r="N33" s="388">
        <f t="shared" si="3"/>
        <v>0</v>
      </c>
      <c r="O33" s="388">
        <f t="shared" si="4"/>
        <v>0</v>
      </c>
      <c r="P33" s="388">
        <f t="shared" si="5"/>
        <v>0</v>
      </c>
      <c r="Q33" s="486">
        <f t="shared" si="6"/>
        <v>7182952</v>
      </c>
      <c r="R33" s="721">
        <f t="shared" si="7"/>
        <v>0.68756384632467249</v>
      </c>
      <c r="S33" s="584">
        <f t="shared" si="8"/>
        <v>1077.4428</v>
      </c>
      <c r="T33" s="659"/>
      <c r="U33" s="659"/>
      <c r="V33" s="584">
        <f t="shared" si="9"/>
        <v>68.756384632467245</v>
      </c>
      <c r="W33" s="659">
        <v>46441.5</v>
      </c>
      <c r="X33" s="659"/>
      <c r="Y33" s="659">
        <f t="shared" si="10"/>
        <v>103.13457694870087</v>
      </c>
      <c r="Z33" s="584">
        <f t="shared" si="11"/>
        <v>1077.4428</v>
      </c>
      <c r="AA33" s="659"/>
      <c r="AB33" s="377">
        <v>30961</v>
      </c>
      <c r="AC33" s="453">
        <f t="shared" si="12"/>
        <v>68.756384632467245</v>
      </c>
      <c r="AD33" s="453">
        <f t="shared" si="18"/>
        <v>31029.756384632467</v>
      </c>
      <c r="AE33" s="453">
        <f t="shared" si="13"/>
        <v>30961</v>
      </c>
      <c r="AF33" s="453">
        <f t="shared" si="14"/>
        <v>0</v>
      </c>
      <c r="AG33" s="622"/>
      <c r="AH33" s="622"/>
      <c r="AI33" s="622"/>
      <c r="AJ33" s="622"/>
      <c r="AK33" s="487">
        <v>34961</v>
      </c>
      <c r="AL33" s="388">
        <f t="shared" si="15"/>
        <v>34291.782696713395</v>
      </c>
      <c r="AM33" s="388">
        <v>0</v>
      </c>
      <c r="AN33" s="388">
        <f t="shared" si="17"/>
        <v>0</v>
      </c>
      <c r="AO33" s="488">
        <v>0</v>
      </c>
      <c r="AP33" s="551">
        <f t="shared" si="16"/>
        <v>0</v>
      </c>
      <c r="AQ33" s="388">
        <v>34961</v>
      </c>
      <c r="AR33" s="546"/>
      <c r="AS33" s="550"/>
      <c r="AT33" s="22"/>
    </row>
    <row r="34" spans="1:46" s="377" customFormat="1" ht="19.5" thickBot="1">
      <c r="A34" s="376">
        <v>24</v>
      </c>
      <c r="B34" s="415" t="s">
        <v>912</v>
      </c>
      <c r="C34" s="410">
        <v>38670</v>
      </c>
      <c r="D34" s="410">
        <v>0</v>
      </c>
      <c r="E34" s="410">
        <v>0</v>
      </c>
      <c r="F34" s="410">
        <v>299</v>
      </c>
      <c r="G34" s="411">
        <f t="shared" si="0"/>
        <v>38969</v>
      </c>
      <c r="H34" s="553">
        <v>30028</v>
      </c>
      <c r="I34" s="548">
        <v>0</v>
      </c>
      <c r="J34" s="532">
        <v>0</v>
      </c>
      <c r="K34" s="554">
        <v>228</v>
      </c>
      <c r="L34" s="548">
        <f t="shared" si="1"/>
        <v>30256</v>
      </c>
      <c r="M34" s="388">
        <f t="shared" si="2"/>
        <v>6966496</v>
      </c>
      <c r="N34" s="388">
        <f t="shared" si="3"/>
        <v>0</v>
      </c>
      <c r="O34" s="388">
        <f t="shared" si="4"/>
        <v>0</v>
      </c>
      <c r="P34" s="388">
        <f t="shared" si="5"/>
        <v>52896</v>
      </c>
      <c r="Q34" s="486">
        <f t="shared" si="6"/>
        <v>7019392</v>
      </c>
      <c r="R34" s="721">
        <f t="shared" si="7"/>
        <v>0.77641201981061869</v>
      </c>
      <c r="S34" s="584">
        <f t="shared" si="8"/>
        <v>1052.9087999999999</v>
      </c>
      <c r="T34" s="659"/>
      <c r="U34" s="659"/>
      <c r="V34" s="584">
        <f t="shared" si="9"/>
        <v>77.641201981061869</v>
      </c>
      <c r="W34" s="659">
        <v>45383.999999999993</v>
      </c>
      <c r="X34" s="659"/>
      <c r="Y34" s="659">
        <f t="shared" si="10"/>
        <v>116.46180297159279</v>
      </c>
      <c r="Z34" s="584">
        <f t="shared" si="11"/>
        <v>1052.9087999999999</v>
      </c>
      <c r="AA34" s="659"/>
      <c r="AB34" s="377">
        <v>30256</v>
      </c>
      <c r="AC34" s="453">
        <f t="shared" si="12"/>
        <v>77.641201981061869</v>
      </c>
      <c r="AD34" s="453">
        <f t="shared" si="18"/>
        <v>30105.641201981063</v>
      </c>
      <c r="AE34" s="453">
        <f t="shared" si="13"/>
        <v>30256</v>
      </c>
      <c r="AF34" s="453">
        <f t="shared" si="14"/>
        <v>0</v>
      </c>
      <c r="AG34" s="622"/>
      <c r="AH34" s="622"/>
      <c r="AI34" s="622"/>
      <c r="AJ34" s="622"/>
      <c r="AK34" s="487">
        <v>30024</v>
      </c>
      <c r="AL34" s="388">
        <f t="shared" si="15"/>
        <v>29449.285881013788</v>
      </c>
      <c r="AM34" s="388">
        <v>0</v>
      </c>
      <c r="AN34" s="388">
        <f t="shared" si="17"/>
        <v>0</v>
      </c>
      <c r="AO34" s="488">
        <v>232</v>
      </c>
      <c r="AP34" s="551">
        <f t="shared" si="16"/>
        <v>227.55127555330293</v>
      </c>
      <c r="AQ34" s="388">
        <v>30256</v>
      </c>
      <c r="AR34" s="546"/>
      <c r="AS34" s="550"/>
      <c r="AT34" s="22"/>
    </row>
    <row r="35" spans="1:46" s="377" customFormat="1" ht="19.5" thickBot="1">
      <c r="A35" s="376">
        <v>25</v>
      </c>
      <c r="B35" s="415" t="s">
        <v>913</v>
      </c>
      <c r="C35" s="410">
        <v>98529</v>
      </c>
      <c r="D35" s="410">
        <v>0</v>
      </c>
      <c r="E35" s="410">
        <v>0</v>
      </c>
      <c r="F35" s="410">
        <v>3200</v>
      </c>
      <c r="G35" s="411">
        <f t="shared" si="0"/>
        <v>101729</v>
      </c>
      <c r="H35" s="553">
        <v>77557</v>
      </c>
      <c r="I35" s="548">
        <v>0</v>
      </c>
      <c r="J35" s="532">
        <v>0</v>
      </c>
      <c r="K35" s="554">
        <v>2434</v>
      </c>
      <c r="L35" s="548">
        <f t="shared" si="1"/>
        <v>79991</v>
      </c>
      <c r="M35" s="388">
        <f t="shared" si="2"/>
        <v>17993224</v>
      </c>
      <c r="N35" s="388">
        <f t="shared" si="3"/>
        <v>0</v>
      </c>
      <c r="O35" s="388">
        <f t="shared" si="4"/>
        <v>0</v>
      </c>
      <c r="P35" s="388">
        <f t="shared" si="5"/>
        <v>564688</v>
      </c>
      <c r="Q35" s="486">
        <f t="shared" si="6"/>
        <v>18557912</v>
      </c>
      <c r="R35" s="721">
        <f t="shared" si="7"/>
        <v>0.78631462021645748</v>
      </c>
      <c r="S35" s="584">
        <f t="shared" si="8"/>
        <v>2783.6867999999999</v>
      </c>
      <c r="T35" s="659"/>
      <c r="U35" s="659"/>
      <c r="V35" s="584">
        <f t="shared" si="9"/>
        <v>78.631462021645746</v>
      </c>
      <c r="W35" s="659">
        <v>121279.60344827586</v>
      </c>
      <c r="X35" s="659"/>
      <c r="Y35" s="659">
        <f t="shared" si="10"/>
        <v>119.21831871764772</v>
      </c>
      <c r="Z35" s="584">
        <f t="shared" si="11"/>
        <v>2783.6867999999999</v>
      </c>
      <c r="AA35" s="659"/>
      <c r="AB35" s="377">
        <v>79991</v>
      </c>
      <c r="AC35" s="453">
        <f t="shared" si="12"/>
        <v>78.631462021645746</v>
      </c>
      <c r="AD35" s="453">
        <f t="shared" si="18"/>
        <v>77635.631462021644</v>
      </c>
      <c r="AE35" s="453">
        <f t="shared" si="13"/>
        <v>79991</v>
      </c>
      <c r="AF35" s="453">
        <f t="shared" si="14"/>
        <v>0</v>
      </c>
      <c r="AG35" s="622"/>
      <c r="AH35" s="622"/>
      <c r="AI35" s="622"/>
      <c r="AJ35" s="622"/>
      <c r="AK35" s="487">
        <v>76498</v>
      </c>
      <c r="AL35" s="388">
        <f t="shared" si="15"/>
        <v>75033.688759851881</v>
      </c>
      <c r="AM35" s="388">
        <v>0</v>
      </c>
      <c r="AN35" s="388">
        <f t="shared" si="17"/>
        <v>0</v>
      </c>
      <c r="AO35" s="488">
        <v>2483</v>
      </c>
      <c r="AP35" s="551">
        <f t="shared" si="16"/>
        <v>2435.3871430984964</v>
      </c>
      <c r="AQ35" s="388">
        <v>78981</v>
      </c>
      <c r="AR35" s="546"/>
      <c r="AS35" s="550"/>
      <c r="AT35" s="22"/>
    </row>
    <row r="36" spans="1:46" s="377" customFormat="1" ht="19.5" thickBot="1">
      <c r="A36" s="376">
        <v>26</v>
      </c>
      <c r="B36" s="415" t="s">
        <v>914</v>
      </c>
      <c r="C36" s="410">
        <v>77570</v>
      </c>
      <c r="D36" s="410">
        <v>0</v>
      </c>
      <c r="E36" s="410">
        <v>0</v>
      </c>
      <c r="F36" s="410">
        <v>167</v>
      </c>
      <c r="G36" s="411">
        <f t="shared" si="0"/>
        <v>77737</v>
      </c>
      <c r="H36" s="553">
        <v>58228</v>
      </c>
      <c r="I36" s="548">
        <v>0</v>
      </c>
      <c r="J36" s="532">
        <v>0</v>
      </c>
      <c r="K36" s="554">
        <v>128</v>
      </c>
      <c r="L36" s="548">
        <f t="shared" si="1"/>
        <v>58356</v>
      </c>
      <c r="M36" s="388">
        <f t="shared" si="2"/>
        <v>13508896</v>
      </c>
      <c r="N36" s="388">
        <f t="shared" si="3"/>
        <v>0</v>
      </c>
      <c r="O36" s="388">
        <f t="shared" si="4"/>
        <v>0</v>
      </c>
      <c r="P36" s="388">
        <f t="shared" si="5"/>
        <v>29696</v>
      </c>
      <c r="Q36" s="486">
        <f t="shared" si="6"/>
        <v>13538592</v>
      </c>
      <c r="R36" s="721">
        <f t="shared" si="7"/>
        <v>0.75068500199390253</v>
      </c>
      <c r="S36" s="584">
        <f t="shared" si="8"/>
        <v>2030.7888</v>
      </c>
      <c r="T36" s="659"/>
      <c r="U36" s="659"/>
      <c r="V36" s="584">
        <f t="shared" si="9"/>
        <v>75.068500199390257</v>
      </c>
      <c r="W36" s="659">
        <v>87534</v>
      </c>
      <c r="X36" s="659"/>
      <c r="Y36" s="659">
        <f t="shared" si="10"/>
        <v>112.60275029908537</v>
      </c>
      <c r="Z36" s="584">
        <f t="shared" si="11"/>
        <v>2030.7888</v>
      </c>
      <c r="AA36" s="659"/>
      <c r="AB36" s="377">
        <v>58356</v>
      </c>
      <c r="AC36" s="453">
        <f t="shared" si="12"/>
        <v>75.068500199390257</v>
      </c>
      <c r="AD36" s="453">
        <f t="shared" si="18"/>
        <v>58303.068500199392</v>
      </c>
      <c r="AE36" s="453">
        <f t="shared" si="13"/>
        <v>58356</v>
      </c>
      <c r="AF36" s="453">
        <f t="shared" si="14"/>
        <v>0</v>
      </c>
      <c r="AG36" s="622"/>
      <c r="AH36" s="622"/>
      <c r="AI36" s="622"/>
      <c r="AJ36" s="622"/>
      <c r="AK36" s="487">
        <v>60226</v>
      </c>
      <c r="AL36" s="388">
        <f t="shared" si="15"/>
        <v>59073.164517383972</v>
      </c>
      <c r="AM36" s="388">
        <v>0</v>
      </c>
      <c r="AN36" s="388">
        <f t="shared" si="17"/>
        <v>0</v>
      </c>
      <c r="AO36" s="488">
        <v>130</v>
      </c>
      <c r="AP36" s="551">
        <f t="shared" si="16"/>
        <v>127.50718026693698</v>
      </c>
      <c r="AQ36" s="388">
        <v>60356</v>
      </c>
      <c r="AR36" s="546"/>
      <c r="AS36" s="550"/>
      <c r="AT36" s="22"/>
    </row>
    <row r="37" spans="1:46" s="377" customFormat="1" ht="19.5" thickBot="1">
      <c r="A37" s="376">
        <v>27</v>
      </c>
      <c r="B37" s="415" t="s">
        <v>915</v>
      </c>
      <c r="C37" s="410">
        <v>43731</v>
      </c>
      <c r="D37" s="410">
        <v>0</v>
      </c>
      <c r="E37" s="410">
        <v>0</v>
      </c>
      <c r="F37" s="410">
        <v>115</v>
      </c>
      <c r="G37" s="411">
        <f t="shared" si="0"/>
        <v>43846</v>
      </c>
      <c r="H37" s="553">
        <v>34955</v>
      </c>
      <c r="I37" s="548">
        <v>0</v>
      </c>
      <c r="J37" s="532">
        <v>0</v>
      </c>
      <c r="K37" s="554">
        <v>87</v>
      </c>
      <c r="L37" s="548">
        <f t="shared" si="1"/>
        <v>35042</v>
      </c>
      <c r="M37" s="388">
        <f t="shared" si="2"/>
        <v>8109560</v>
      </c>
      <c r="N37" s="388">
        <f t="shared" si="3"/>
        <v>0</v>
      </c>
      <c r="O37" s="388">
        <f t="shared" si="4"/>
        <v>0</v>
      </c>
      <c r="P37" s="388">
        <f t="shared" si="5"/>
        <v>20184</v>
      </c>
      <c r="Q37" s="486">
        <f t="shared" si="6"/>
        <v>8129744</v>
      </c>
      <c r="R37" s="721">
        <f t="shared" si="7"/>
        <v>0.79920631300460698</v>
      </c>
      <c r="S37" s="584">
        <f t="shared" si="8"/>
        <v>1219.4616000000001</v>
      </c>
      <c r="T37" s="659"/>
      <c r="U37" s="659"/>
      <c r="V37" s="584">
        <f t="shared" si="9"/>
        <v>79.920631300460698</v>
      </c>
      <c r="W37" s="659">
        <v>53856.103448275862</v>
      </c>
      <c r="X37" s="659"/>
      <c r="Y37" s="659">
        <f t="shared" si="10"/>
        <v>122.83014060182424</v>
      </c>
      <c r="Z37" s="584">
        <f t="shared" si="11"/>
        <v>1219.4616000000001</v>
      </c>
      <c r="AA37" s="659"/>
      <c r="AB37" s="377">
        <v>35042</v>
      </c>
      <c r="AC37" s="453">
        <f t="shared" si="12"/>
        <v>79.920631300460698</v>
      </c>
      <c r="AD37" s="453">
        <f t="shared" si="18"/>
        <v>35034.920631300462</v>
      </c>
      <c r="AE37" s="453">
        <f t="shared" si="13"/>
        <v>35042</v>
      </c>
      <c r="AF37" s="453">
        <f t="shared" si="14"/>
        <v>0</v>
      </c>
      <c r="AG37" s="622"/>
      <c r="AH37" s="622"/>
      <c r="AI37" s="622"/>
      <c r="AJ37" s="622"/>
      <c r="AK37" s="487">
        <v>33953</v>
      </c>
      <c r="AL37" s="388">
        <f t="shared" si="15"/>
        <v>33303.077655144589</v>
      </c>
      <c r="AM37" s="388">
        <v>0</v>
      </c>
      <c r="AN37" s="388">
        <f t="shared" si="17"/>
        <v>0</v>
      </c>
      <c r="AO37" s="488">
        <v>89</v>
      </c>
      <c r="AP37" s="551">
        <f t="shared" si="16"/>
        <v>87.293377259672241</v>
      </c>
      <c r="AQ37" s="388">
        <v>34042</v>
      </c>
      <c r="AR37" s="546"/>
      <c r="AS37" s="550"/>
      <c r="AT37" s="22"/>
    </row>
    <row r="38" spans="1:46" s="377" customFormat="1" ht="19.5" thickBot="1">
      <c r="A38" s="376">
        <v>28</v>
      </c>
      <c r="B38" s="415" t="s">
        <v>916</v>
      </c>
      <c r="C38" s="410">
        <v>58256</v>
      </c>
      <c r="D38" s="410">
        <v>0</v>
      </c>
      <c r="E38" s="410">
        <v>0</v>
      </c>
      <c r="F38" s="410">
        <v>32</v>
      </c>
      <c r="G38" s="411">
        <f t="shared" si="0"/>
        <v>58288</v>
      </c>
      <c r="H38" s="553">
        <v>42230</v>
      </c>
      <c r="I38" s="548">
        <v>0</v>
      </c>
      <c r="J38" s="532">
        <v>0</v>
      </c>
      <c r="K38" s="554">
        <v>25</v>
      </c>
      <c r="L38" s="548">
        <f t="shared" si="1"/>
        <v>42255</v>
      </c>
      <c r="M38" s="388">
        <f t="shared" si="2"/>
        <v>9797360</v>
      </c>
      <c r="N38" s="388">
        <f t="shared" si="3"/>
        <v>0</v>
      </c>
      <c r="O38" s="388">
        <f t="shared" si="4"/>
        <v>0</v>
      </c>
      <c r="P38" s="388">
        <f t="shared" si="5"/>
        <v>5800</v>
      </c>
      <c r="Q38" s="486">
        <f t="shared" si="6"/>
        <v>9803160</v>
      </c>
      <c r="R38" s="721">
        <f t="shared" si="7"/>
        <v>0.72493480647817732</v>
      </c>
      <c r="S38" s="584">
        <f t="shared" si="8"/>
        <v>1470.4739999999999</v>
      </c>
      <c r="T38" s="659"/>
      <c r="U38" s="659"/>
      <c r="V38" s="584">
        <f t="shared" si="9"/>
        <v>72.493480647817734</v>
      </c>
      <c r="W38" s="659">
        <v>63382.5</v>
      </c>
      <c r="X38" s="659"/>
      <c r="Y38" s="659">
        <f t="shared" si="10"/>
        <v>108.7402209717266</v>
      </c>
      <c r="Z38" s="584">
        <f t="shared" si="11"/>
        <v>1470.4739999999999</v>
      </c>
      <c r="AA38" s="659"/>
      <c r="AB38" s="377">
        <v>42255</v>
      </c>
      <c r="AC38" s="453">
        <f t="shared" si="12"/>
        <v>72.493480647817734</v>
      </c>
      <c r="AD38" s="453">
        <f t="shared" si="18"/>
        <v>42302.49348064782</v>
      </c>
      <c r="AE38" s="453">
        <f t="shared" si="13"/>
        <v>42255</v>
      </c>
      <c r="AF38" s="453">
        <f t="shared" si="14"/>
        <v>0</v>
      </c>
      <c r="AG38" s="622"/>
      <c r="AH38" s="622"/>
      <c r="AI38" s="622"/>
      <c r="AJ38" s="622"/>
      <c r="AK38" s="487">
        <v>45230</v>
      </c>
      <c r="AL38" s="388">
        <f t="shared" si="15"/>
        <v>44364.215307695631</v>
      </c>
      <c r="AM38" s="388">
        <v>0</v>
      </c>
      <c r="AN38" s="388">
        <f t="shared" si="17"/>
        <v>0</v>
      </c>
      <c r="AO38" s="488">
        <v>25</v>
      </c>
      <c r="AP38" s="551">
        <f t="shared" si="16"/>
        <v>24.520611589795575</v>
      </c>
      <c r="AQ38" s="388">
        <v>45255</v>
      </c>
      <c r="AR38" s="546"/>
      <c r="AS38" s="550"/>
      <c r="AT38" s="22"/>
    </row>
    <row r="39" spans="1:46" s="377" customFormat="1" ht="19.5" thickBot="1">
      <c r="A39" s="376">
        <v>29</v>
      </c>
      <c r="B39" s="415" t="s">
        <v>917</v>
      </c>
      <c r="C39" s="410">
        <v>35340</v>
      </c>
      <c r="D39" s="410">
        <v>0</v>
      </c>
      <c r="E39" s="410">
        <v>0</v>
      </c>
      <c r="F39" s="410">
        <v>923</v>
      </c>
      <c r="G39" s="411">
        <f t="shared" si="0"/>
        <v>36263</v>
      </c>
      <c r="H39" s="553">
        <v>28452</v>
      </c>
      <c r="I39" s="548">
        <v>0</v>
      </c>
      <c r="J39" s="532">
        <v>0</v>
      </c>
      <c r="K39" s="554">
        <v>703</v>
      </c>
      <c r="L39" s="548">
        <f t="shared" si="1"/>
        <v>29155</v>
      </c>
      <c r="M39" s="388">
        <f t="shared" si="2"/>
        <v>6600864</v>
      </c>
      <c r="N39" s="388">
        <f t="shared" si="3"/>
        <v>0</v>
      </c>
      <c r="O39" s="388">
        <f t="shared" si="4"/>
        <v>0</v>
      </c>
      <c r="P39" s="388">
        <f t="shared" si="5"/>
        <v>163096</v>
      </c>
      <c r="Q39" s="486">
        <f t="shared" si="6"/>
        <v>6763960</v>
      </c>
      <c r="R39" s="721">
        <f t="shared" si="7"/>
        <v>0.80398753550450874</v>
      </c>
      <c r="S39" s="584">
        <f t="shared" si="8"/>
        <v>1014.5940000000001</v>
      </c>
      <c r="T39" s="659"/>
      <c r="U39" s="659"/>
      <c r="V39" s="584">
        <f t="shared" si="9"/>
        <v>80.398753550450877</v>
      </c>
      <c r="W39" s="659">
        <v>43732.5</v>
      </c>
      <c r="X39" s="659"/>
      <c r="Y39" s="659">
        <f t="shared" si="10"/>
        <v>120.59813032567629</v>
      </c>
      <c r="Z39" s="584">
        <f t="shared" si="11"/>
        <v>1014.5940000000001</v>
      </c>
      <c r="AA39" s="659"/>
      <c r="AB39" s="377">
        <v>29155</v>
      </c>
      <c r="AC39" s="453">
        <f t="shared" si="12"/>
        <v>80.398753550450877</v>
      </c>
      <c r="AD39" s="453">
        <f t="shared" si="18"/>
        <v>28532.398753550449</v>
      </c>
      <c r="AE39" s="453">
        <f t="shared" si="13"/>
        <v>29155</v>
      </c>
      <c r="AF39" s="453">
        <f t="shared" si="14"/>
        <v>0</v>
      </c>
      <c r="AG39" s="622"/>
      <c r="AH39" s="622"/>
      <c r="AI39" s="622"/>
      <c r="AJ39" s="622"/>
      <c r="AK39" s="487">
        <v>27438</v>
      </c>
      <c r="AL39" s="388">
        <f t="shared" si="15"/>
        <v>26912.786637465237</v>
      </c>
      <c r="AM39" s="388">
        <v>0</v>
      </c>
      <c r="AN39" s="388">
        <f t="shared" si="17"/>
        <v>0</v>
      </c>
      <c r="AO39" s="488">
        <v>717</v>
      </c>
      <c r="AP39" s="551">
        <f t="shared" si="16"/>
        <v>703.25114039533707</v>
      </c>
      <c r="AQ39" s="388">
        <v>28155</v>
      </c>
      <c r="AR39" s="546"/>
      <c r="AS39" s="550"/>
      <c r="AT39" s="22"/>
    </row>
    <row r="40" spans="1:46" s="377" customFormat="1" ht="19.5" thickBot="1">
      <c r="A40" s="376">
        <v>30</v>
      </c>
      <c r="B40" s="415" t="s">
        <v>918</v>
      </c>
      <c r="C40" s="410">
        <v>60326</v>
      </c>
      <c r="D40" s="410">
        <v>0</v>
      </c>
      <c r="E40" s="410">
        <v>0</v>
      </c>
      <c r="F40" s="410">
        <v>616</v>
      </c>
      <c r="G40" s="411">
        <f t="shared" si="0"/>
        <v>60942</v>
      </c>
      <c r="H40" s="553">
        <v>46846</v>
      </c>
      <c r="I40" s="548">
        <v>0</v>
      </c>
      <c r="J40" s="532">
        <v>0</v>
      </c>
      <c r="K40" s="554">
        <v>469</v>
      </c>
      <c r="L40" s="548">
        <f t="shared" si="1"/>
        <v>47315</v>
      </c>
      <c r="M40" s="388">
        <f t="shared" si="2"/>
        <v>10868272</v>
      </c>
      <c r="N40" s="388">
        <f t="shared" si="3"/>
        <v>0</v>
      </c>
      <c r="O40" s="388">
        <f t="shared" si="4"/>
        <v>0</v>
      </c>
      <c r="P40" s="388">
        <f t="shared" si="5"/>
        <v>108808</v>
      </c>
      <c r="Q40" s="486">
        <f t="shared" si="6"/>
        <v>10977080</v>
      </c>
      <c r="R40" s="721">
        <f t="shared" si="7"/>
        <v>0.7763939483443274</v>
      </c>
      <c r="S40" s="584">
        <f t="shared" si="8"/>
        <v>1646.5619999999999</v>
      </c>
      <c r="T40" s="659"/>
      <c r="U40" s="659"/>
      <c r="V40" s="584">
        <f t="shared" si="9"/>
        <v>77.639394834432736</v>
      </c>
      <c r="W40" s="659">
        <v>71834.568965517246</v>
      </c>
      <c r="X40" s="659"/>
      <c r="Y40" s="659">
        <f t="shared" si="10"/>
        <v>117.87366506763357</v>
      </c>
      <c r="Z40" s="584">
        <f t="shared" si="11"/>
        <v>1646.5619999999999</v>
      </c>
      <c r="AA40" s="659"/>
      <c r="AB40" s="377">
        <v>47315</v>
      </c>
      <c r="AC40" s="453">
        <f t="shared" si="12"/>
        <v>77.639394834432736</v>
      </c>
      <c r="AD40" s="453">
        <f t="shared" si="18"/>
        <v>46923.639394834434</v>
      </c>
      <c r="AE40" s="453">
        <f t="shared" si="13"/>
        <v>47315</v>
      </c>
      <c r="AF40" s="453">
        <f t="shared" si="14"/>
        <v>0</v>
      </c>
      <c r="AG40" s="622"/>
      <c r="AH40" s="622"/>
      <c r="AI40" s="622"/>
      <c r="AJ40" s="622"/>
      <c r="AK40" s="487">
        <v>46837</v>
      </c>
      <c r="AL40" s="388">
        <f t="shared" si="15"/>
        <v>45940.454396784</v>
      </c>
      <c r="AM40" s="388">
        <v>0</v>
      </c>
      <c r="AN40" s="388">
        <f t="shared" si="17"/>
        <v>0</v>
      </c>
      <c r="AO40" s="488">
        <v>478</v>
      </c>
      <c r="AP40" s="551">
        <f t="shared" si="16"/>
        <v>468.83409359689136</v>
      </c>
      <c r="AQ40" s="388">
        <v>47315</v>
      </c>
      <c r="AR40" s="546"/>
      <c r="AS40" s="550"/>
      <c r="AT40" s="22"/>
    </row>
    <row r="41" spans="1:46" s="377" customFormat="1" ht="19.5" thickBot="1">
      <c r="A41" s="376">
        <v>31</v>
      </c>
      <c r="B41" s="415" t="s">
        <v>919</v>
      </c>
      <c r="C41" s="410">
        <v>38325</v>
      </c>
      <c r="D41" s="410">
        <v>0</v>
      </c>
      <c r="E41" s="410">
        <v>0</v>
      </c>
      <c r="F41" s="410">
        <v>10</v>
      </c>
      <c r="G41" s="411">
        <f t="shared" si="0"/>
        <v>38335</v>
      </c>
      <c r="H41" s="553">
        <v>25755</v>
      </c>
      <c r="I41" s="548">
        <v>0</v>
      </c>
      <c r="J41" s="532">
        <v>0</v>
      </c>
      <c r="K41" s="554">
        <v>9</v>
      </c>
      <c r="L41" s="548">
        <f t="shared" si="1"/>
        <v>25764</v>
      </c>
      <c r="M41" s="388">
        <f t="shared" si="2"/>
        <v>5975160</v>
      </c>
      <c r="N41" s="388">
        <f t="shared" si="3"/>
        <v>0</v>
      </c>
      <c r="O41" s="388">
        <f t="shared" si="4"/>
        <v>0</v>
      </c>
      <c r="P41" s="388">
        <f t="shared" si="5"/>
        <v>2088</v>
      </c>
      <c r="Q41" s="486">
        <f t="shared" si="6"/>
        <v>5977248</v>
      </c>
      <c r="R41" s="721">
        <f t="shared" si="7"/>
        <v>0.67207512716838402</v>
      </c>
      <c r="S41" s="584">
        <f t="shared" si="8"/>
        <v>896.58720000000005</v>
      </c>
      <c r="T41" s="659"/>
      <c r="U41" s="659"/>
      <c r="V41" s="584">
        <f t="shared" si="9"/>
        <v>67.207512716838409</v>
      </c>
      <c r="W41" s="659">
        <v>38646</v>
      </c>
      <c r="X41" s="659"/>
      <c r="Y41" s="659">
        <f t="shared" si="10"/>
        <v>100.8112690752576</v>
      </c>
      <c r="Z41" s="584">
        <f t="shared" si="11"/>
        <v>896.58720000000005</v>
      </c>
      <c r="AA41" s="659"/>
      <c r="AB41" s="377">
        <v>25764</v>
      </c>
      <c r="AC41" s="453">
        <f t="shared" si="12"/>
        <v>67.207512716838409</v>
      </c>
      <c r="AD41" s="453">
        <f t="shared" si="18"/>
        <v>25822.207512716839</v>
      </c>
      <c r="AE41" s="453">
        <f t="shared" si="13"/>
        <v>25764</v>
      </c>
      <c r="AF41" s="453">
        <f t="shared" si="14"/>
        <v>0</v>
      </c>
      <c r="AG41" s="622"/>
      <c r="AH41" s="622"/>
      <c r="AI41" s="622"/>
      <c r="AJ41" s="622"/>
      <c r="AK41" s="487">
        <v>29756</v>
      </c>
      <c r="AL41" s="388">
        <f t="shared" si="15"/>
        <v>29186.415889803033</v>
      </c>
      <c r="AM41" s="388">
        <v>0</v>
      </c>
      <c r="AN41" s="388">
        <f t="shared" si="17"/>
        <v>0</v>
      </c>
      <c r="AO41" s="488">
        <v>8</v>
      </c>
      <c r="AP41" s="551">
        <f t="shared" si="16"/>
        <v>7.8465957087345837</v>
      </c>
      <c r="AQ41" s="388">
        <v>29764</v>
      </c>
      <c r="AR41" s="546"/>
      <c r="AS41" s="550"/>
      <c r="AT41" s="22"/>
    </row>
    <row r="42" spans="1:46" s="377" customFormat="1" ht="19.5" thickBot="1">
      <c r="A42" s="376">
        <v>32</v>
      </c>
      <c r="B42" s="415" t="s">
        <v>920</v>
      </c>
      <c r="C42" s="410">
        <v>40215</v>
      </c>
      <c r="D42" s="410">
        <v>0</v>
      </c>
      <c r="E42" s="410">
        <v>0</v>
      </c>
      <c r="F42" s="410">
        <v>563</v>
      </c>
      <c r="G42" s="411">
        <f t="shared" si="0"/>
        <v>40778</v>
      </c>
      <c r="H42" s="553">
        <v>31231</v>
      </c>
      <c r="I42" s="548">
        <v>0</v>
      </c>
      <c r="J42" s="532">
        <v>0</v>
      </c>
      <c r="K42" s="554">
        <v>429</v>
      </c>
      <c r="L42" s="548">
        <f t="shared" si="1"/>
        <v>31660</v>
      </c>
      <c r="M42" s="388">
        <f t="shared" si="2"/>
        <v>7245592</v>
      </c>
      <c r="N42" s="388">
        <f t="shared" si="3"/>
        <v>0</v>
      </c>
      <c r="O42" s="388">
        <f t="shared" si="4"/>
        <v>0</v>
      </c>
      <c r="P42" s="388">
        <f t="shared" si="5"/>
        <v>99528</v>
      </c>
      <c r="Q42" s="486">
        <f t="shared" si="6"/>
        <v>7345120</v>
      </c>
      <c r="R42" s="721">
        <f t="shared" si="7"/>
        <v>0.77639903869733684</v>
      </c>
      <c r="S42" s="584">
        <f t="shared" si="8"/>
        <v>1101.768</v>
      </c>
      <c r="T42" s="659"/>
      <c r="U42" s="659"/>
      <c r="V42" s="584">
        <f t="shared" si="9"/>
        <v>77.639903869733686</v>
      </c>
      <c r="W42" s="659">
        <v>47490</v>
      </c>
      <c r="X42" s="659"/>
      <c r="Y42" s="659">
        <f t="shared" si="10"/>
        <v>116.45985580460052</v>
      </c>
      <c r="Z42" s="584">
        <f t="shared" si="11"/>
        <v>1101.768</v>
      </c>
      <c r="AA42" s="659"/>
      <c r="AB42" s="377">
        <v>31660</v>
      </c>
      <c r="AC42" s="453">
        <f t="shared" si="12"/>
        <v>77.639903869733686</v>
      </c>
      <c r="AD42" s="453">
        <f t="shared" si="18"/>
        <v>31308.639903869735</v>
      </c>
      <c r="AE42" s="453">
        <f t="shared" si="13"/>
        <v>31660</v>
      </c>
      <c r="AF42" s="453">
        <f t="shared" si="14"/>
        <v>0</v>
      </c>
      <c r="AG42" s="622"/>
      <c r="AH42" s="622"/>
      <c r="AI42" s="622"/>
      <c r="AJ42" s="622"/>
      <c r="AK42" s="487">
        <v>31223</v>
      </c>
      <c r="AL42" s="388">
        <f t="shared" si="15"/>
        <v>30625.334834229066</v>
      </c>
      <c r="AM42" s="388">
        <v>0</v>
      </c>
      <c r="AN42" s="388">
        <f t="shared" si="17"/>
        <v>0</v>
      </c>
      <c r="AO42" s="488">
        <v>437</v>
      </c>
      <c r="AP42" s="551">
        <f t="shared" si="16"/>
        <v>428.62029058962662</v>
      </c>
      <c r="AQ42" s="388">
        <v>31660</v>
      </c>
      <c r="AR42" s="546"/>
      <c r="AS42" s="550"/>
      <c r="AT42" s="22"/>
    </row>
    <row r="43" spans="1:46" s="377" customFormat="1" ht="19.5" thickBot="1">
      <c r="A43" s="376">
        <v>33</v>
      </c>
      <c r="B43" s="416" t="s">
        <v>921</v>
      </c>
      <c r="C43" s="410">
        <v>127905</v>
      </c>
      <c r="D43" s="410">
        <v>0</v>
      </c>
      <c r="E43" s="410">
        <v>513</v>
      </c>
      <c r="F43" s="410">
        <v>111</v>
      </c>
      <c r="G43" s="411">
        <f t="shared" si="0"/>
        <v>128529</v>
      </c>
      <c r="H43" s="553">
        <v>79614</v>
      </c>
      <c r="I43" s="548">
        <v>0</v>
      </c>
      <c r="J43" s="532">
        <v>391</v>
      </c>
      <c r="K43" s="554">
        <v>85</v>
      </c>
      <c r="L43" s="548">
        <f t="shared" si="1"/>
        <v>80090</v>
      </c>
      <c r="M43" s="388">
        <f t="shared" si="2"/>
        <v>18470448</v>
      </c>
      <c r="N43" s="388">
        <f t="shared" si="3"/>
        <v>0</v>
      </c>
      <c r="O43" s="388">
        <f t="shared" si="4"/>
        <v>90712</v>
      </c>
      <c r="P43" s="388">
        <f t="shared" si="5"/>
        <v>19720</v>
      </c>
      <c r="Q43" s="486">
        <f t="shared" si="6"/>
        <v>18580880</v>
      </c>
      <c r="R43" s="721">
        <f t="shared" si="7"/>
        <v>0.62312785441417895</v>
      </c>
      <c r="S43" s="584">
        <f t="shared" si="8"/>
        <v>2787.1320000000001</v>
      </c>
      <c r="T43" s="659"/>
      <c r="U43" s="659"/>
      <c r="V43" s="584">
        <f t="shared" si="9"/>
        <v>62.312785441417894</v>
      </c>
      <c r="W43" s="659">
        <v>120135</v>
      </c>
      <c r="X43" s="659"/>
      <c r="Y43" s="659">
        <f t="shared" si="10"/>
        <v>93.469178162126838</v>
      </c>
      <c r="Z43" s="584">
        <f t="shared" si="11"/>
        <v>2787.1320000000001</v>
      </c>
      <c r="AA43" s="659"/>
      <c r="AB43" s="377">
        <v>80090</v>
      </c>
      <c r="AC43" s="453">
        <f t="shared" si="12"/>
        <v>62.312785441417894</v>
      </c>
      <c r="AD43" s="453">
        <f t="shared" si="18"/>
        <v>79676.31278544142</v>
      </c>
      <c r="AE43" s="453">
        <f t="shared" si="13"/>
        <v>80090</v>
      </c>
      <c r="AF43" s="453">
        <f t="shared" si="14"/>
        <v>0</v>
      </c>
      <c r="AG43" s="622"/>
      <c r="AH43" s="622"/>
      <c r="AI43" s="622"/>
      <c r="AJ43" s="622"/>
      <c r="AK43" s="487">
        <v>99306</v>
      </c>
      <c r="AL43" s="388">
        <f t="shared" si="15"/>
        <v>97405.102041698483</v>
      </c>
      <c r="AM43" s="388">
        <v>398</v>
      </c>
      <c r="AN43" s="388">
        <f t="shared" si="17"/>
        <v>390.55708661417322</v>
      </c>
      <c r="AO43" s="488">
        <v>86</v>
      </c>
      <c r="AP43" s="551">
        <f t="shared" si="16"/>
        <v>84.350903868896779</v>
      </c>
      <c r="AQ43" s="388">
        <v>99790</v>
      </c>
      <c r="AR43" s="546"/>
      <c r="AS43" s="550"/>
      <c r="AT43" s="22"/>
    </row>
    <row r="44" spans="1:46" ht="19.5">
      <c r="A44" s="20"/>
      <c r="B44" s="417" t="s">
        <v>19</v>
      </c>
      <c r="C44" s="414">
        <v>2145368</v>
      </c>
      <c r="D44" s="414">
        <f t="shared" ref="D44:E44" si="19">SUM(D11:D43)</f>
        <v>0</v>
      </c>
      <c r="E44" s="414">
        <f t="shared" si="19"/>
        <v>1308</v>
      </c>
      <c r="F44" s="414">
        <v>15248</v>
      </c>
      <c r="G44" s="414">
        <f>SUM(G11:G43)</f>
        <v>2161924</v>
      </c>
      <c r="H44" s="552">
        <f>SUM(H11:H43)</f>
        <v>1639286</v>
      </c>
      <c r="I44" s="548">
        <v>0</v>
      </c>
      <c r="J44" s="388">
        <f t="shared" ref="J44:Q44" si="20">SUM(J11:J43)</f>
        <v>997</v>
      </c>
      <c r="K44" s="552">
        <f t="shared" si="20"/>
        <v>11613</v>
      </c>
      <c r="L44" s="548">
        <f>SUM(L11:L43)</f>
        <v>1651896</v>
      </c>
      <c r="M44" s="388">
        <f t="shared" ref="M44" si="21">H44*232</f>
        <v>380314352</v>
      </c>
      <c r="N44" s="388">
        <f t="shared" si="20"/>
        <v>0</v>
      </c>
      <c r="O44" s="388">
        <f t="shared" si="4"/>
        <v>231304</v>
      </c>
      <c r="P44" s="388">
        <f t="shared" si="5"/>
        <v>2694216</v>
      </c>
      <c r="Q44" s="388">
        <f t="shared" si="20"/>
        <v>383239872</v>
      </c>
      <c r="R44" s="660"/>
      <c r="S44" s="660"/>
      <c r="T44" s="660"/>
      <c r="U44" s="660"/>
      <c r="V44" s="584">
        <f t="shared" si="9"/>
        <v>76.408606407995833</v>
      </c>
      <c r="W44" s="660">
        <f>SUM(W11:W43)</f>
        <v>2469594.0000000005</v>
      </c>
      <c r="X44" s="660"/>
      <c r="Y44" s="660"/>
      <c r="Z44" s="660"/>
      <c r="AA44" s="660"/>
      <c r="AB44" s="15">
        <f>SUM(AB11:AB43)</f>
        <v>1646396</v>
      </c>
      <c r="AC44" s="453">
        <f t="shared" si="12"/>
        <v>76.408606407995833</v>
      </c>
      <c r="AD44" s="453">
        <f t="shared" si="18"/>
        <v>1639362.4086064079</v>
      </c>
      <c r="AE44" s="453">
        <f t="shared" si="13"/>
        <v>1651896</v>
      </c>
      <c r="AF44" s="453">
        <f t="shared" si="14"/>
        <v>0</v>
      </c>
      <c r="AK44" s="388">
        <f>SUM(AK11:AK43)</f>
        <v>1665672</v>
      </c>
      <c r="AL44" s="388">
        <f t="shared" si="15"/>
        <v>1633788</v>
      </c>
      <c r="AM44" s="388">
        <f t="shared" ref="AM44:AQ44" si="22">SUM(AM11:AM43)</f>
        <v>1016</v>
      </c>
      <c r="AN44" s="388">
        <f t="shared" si="17"/>
        <v>997</v>
      </c>
      <c r="AO44" s="388">
        <f t="shared" si="22"/>
        <v>11838</v>
      </c>
      <c r="AP44" s="488">
        <f t="shared" si="16"/>
        <v>11611</v>
      </c>
      <c r="AQ44" s="388">
        <f t="shared" si="22"/>
        <v>1678526</v>
      </c>
      <c r="AR44" s="550"/>
      <c r="AS44" s="550"/>
      <c r="AT44" s="22"/>
    </row>
    <row r="45" spans="1:46">
      <c r="A45" s="74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K45" s="22">
        <f>1646396/1678526*AK44</f>
        <v>1633788.0486283798</v>
      </c>
      <c r="AL45" s="22">
        <f t="shared" ref="AL45:AQ45" si="23">1646396/1678526*AL44</f>
        <v>1602514.3656088735</v>
      </c>
      <c r="AM45" s="22">
        <f t="shared" si="23"/>
        <v>996.5519366396469</v>
      </c>
      <c r="AN45" s="388">
        <f t="shared" si="17"/>
        <v>977.91563073792122</v>
      </c>
      <c r="AO45" s="22">
        <f t="shared" si="23"/>
        <v>11611.399434980452</v>
      </c>
      <c r="AP45" s="488">
        <f t="shared" si="16"/>
        <v>11388.744622365099</v>
      </c>
      <c r="AQ45" s="22">
        <f t="shared" si="23"/>
        <v>1646396</v>
      </c>
      <c r="AR45" s="22"/>
      <c r="AS45" s="550"/>
      <c r="AT45" s="22"/>
    </row>
    <row r="46" spans="1:46">
      <c r="A46" s="10" t="s">
        <v>8</v>
      </c>
      <c r="B46"/>
      <c r="C46"/>
      <c r="D46"/>
      <c r="G46" s="453"/>
      <c r="K46" s="453"/>
      <c r="AK46" s="22">
        <v>1633788</v>
      </c>
      <c r="AL46" s="22">
        <v>0</v>
      </c>
      <c r="AM46" s="22">
        <v>997</v>
      </c>
      <c r="AN46" s="388">
        <f t="shared" si="17"/>
        <v>978.35531496062993</v>
      </c>
      <c r="AO46" s="22">
        <v>11611</v>
      </c>
      <c r="AP46" s="488">
        <f t="shared" si="16"/>
        <v>11388.352846764656</v>
      </c>
      <c r="AQ46" s="22">
        <f>AO46+AM46+AL46+AK46</f>
        <v>1646396</v>
      </c>
      <c r="AR46" s="22"/>
      <c r="AS46" s="550"/>
      <c r="AT46" s="22"/>
    </row>
    <row r="47" spans="1:46">
      <c r="A47" t="s">
        <v>9</v>
      </c>
      <c r="B47"/>
      <c r="C47"/>
      <c r="D47"/>
      <c r="AK47" s="22"/>
      <c r="AL47" s="22"/>
      <c r="AM47" s="22"/>
      <c r="AN47" s="22"/>
      <c r="AO47" s="22"/>
      <c r="AP47" s="22"/>
      <c r="AQ47" s="22"/>
      <c r="AR47" s="22"/>
      <c r="AS47" s="550"/>
      <c r="AT47" s="22"/>
    </row>
    <row r="48" spans="1:46">
      <c r="A48" t="s">
        <v>10</v>
      </c>
      <c r="B48"/>
      <c r="C48"/>
      <c r="D48"/>
      <c r="I48" s="11"/>
      <c r="J48" s="11"/>
      <c r="K48" s="11"/>
      <c r="L48" s="11"/>
      <c r="N48" s="453"/>
      <c r="AK48" s="22"/>
      <c r="AL48" s="22"/>
      <c r="AM48" s="22"/>
      <c r="AN48" s="22"/>
      <c r="AO48" s="22"/>
      <c r="AP48" s="22"/>
      <c r="AQ48" s="22"/>
      <c r="AR48" s="22"/>
      <c r="AS48" s="22"/>
      <c r="AT48" s="22"/>
    </row>
    <row r="49" spans="1:38" customFormat="1">
      <c r="A49" s="15" t="s">
        <v>433</v>
      </c>
      <c r="J49" s="11"/>
      <c r="K49" s="11"/>
      <c r="L49" s="11"/>
    </row>
    <row r="50" spans="1:38" customFormat="1">
      <c r="C50" s="15" t="s">
        <v>435</v>
      </c>
      <c r="E50" s="12"/>
      <c r="F50" s="12"/>
      <c r="G50" s="12"/>
      <c r="H50" s="12"/>
      <c r="I50" s="12"/>
      <c r="J50" s="12"/>
      <c r="K50" s="12"/>
      <c r="L50" s="12"/>
      <c r="M50" s="12"/>
    </row>
    <row r="52" spans="1:38">
      <c r="A52" s="14" t="s">
        <v>12</v>
      </c>
      <c r="B52" s="14"/>
      <c r="C52" s="14"/>
      <c r="D52" s="14"/>
      <c r="E52" s="14"/>
      <c r="F52" s="14"/>
      <c r="G52" s="14"/>
      <c r="I52" s="14"/>
      <c r="O52" s="871" t="s">
        <v>13</v>
      </c>
      <c r="P52" s="871"/>
      <c r="Q52" s="872"/>
      <c r="R52" s="637"/>
      <c r="S52" s="637"/>
      <c r="T52" s="637"/>
      <c r="U52" s="637"/>
      <c r="V52" s="637"/>
      <c r="W52" s="637"/>
      <c r="X52" s="637"/>
      <c r="Y52" s="637"/>
      <c r="Z52" s="637"/>
      <c r="AA52" s="637"/>
    </row>
    <row r="53" spans="1:38" ht="12.75" customHeight="1">
      <c r="A53" s="871" t="s">
        <v>14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  <c r="R53" s="636"/>
      <c r="S53" s="636"/>
      <c r="T53" s="636"/>
      <c r="U53" s="636"/>
      <c r="V53" s="636"/>
      <c r="W53" s="636"/>
      <c r="X53" s="636"/>
      <c r="Y53" s="636"/>
      <c r="Z53" s="636"/>
      <c r="AA53" s="636"/>
    </row>
    <row r="54" spans="1:38">
      <c r="A54" s="866" t="s">
        <v>95</v>
      </c>
      <c r="B54" s="866"/>
      <c r="C54" s="866"/>
      <c r="D54" s="866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  <c r="R54" s="866"/>
      <c r="S54" s="866"/>
      <c r="T54" s="866"/>
      <c r="U54" s="866"/>
      <c r="V54" s="866"/>
      <c r="W54" s="866"/>
      <c r="X54" s="866"/>
      <c r="Y54" s="866"/>
      <c r="Z54" s="866"/>
      <c r="AA54" s="866"/>
      <c r="AB54" s="866"/>
      <c r="AC54" s="866"/>
      <c r="AD54" s="866"/>
      <c r="AE54" s="866"/>
      <c r="AF54" s="866"/>
      <c r="AG54" s="866"/>
      <c r="AH54" s="866"/>
      <c r="AI54" s="866"/>
      <c r="AJ54" s="866"/>
      <c r="AK54" s="866"/>
      <c r="AL54" s="458"/>
    </row>
    <row r="55" spans="1:38">
      <c r="A55" s="14"/>
      <c r="B55" s="14"/>
      <c r="C55" s="14"/>
      <c r="D55" s="14"/>
      <c r="E55" s="14"/>
      <c r="F55" s="14"/>
      <c r="N55" s="850" t="s">
        <v>87</v>
      </c>
      <c r="O55" s="850"/>
      <c r="P55" s="850"/>
      <c r="Q55" s="850"/>
      <c r="R55" s="639"/>
      <c r="S55" s="639"/>
      <c r="T55" s="639"/>
      <c r="U55" s="639"/>
      <c r="V55" s="639"/>
      <c r="W55" s="639"/>
      <c r="X55" s="639"/>
      <c r="Y55" s="639"/>
      <c r="Z55" s="639"/>
      <c r="AA55" s="639"/>
    </row>
    <row r="56" spans="1:38">
      <c r="A56" s="934"/>
      <c r="B56" s="934"/>
      <c r="C56" s="934"/>
      <c r="D56" s="934"/>
      <c r="E56" s="934"/>
      <c r="F56" s="934"/>
      <c r="G56" s="934"/>
      <c r="H56" s="934"/>
      <c r="I56" s="934"/>
      <c r="J56" s="934"/>
      <c r="K56" s="934"/>
      <c r="L56" s="934"/>
    </row>
  </sheetData>
  <mergeCells count="16">
    <mergeCell ref="A56:L56"/>
    <mergeCell ref="O1:Q1"/>
    <mergeCell ref="A2:L2"/>
    <mergeCell ref="A3:L3"/>
    <mergeCell ref="A5:L5"/>
    <mergeCell ref="M8:Q8"/>
    <mergeCell ref="A53:Q53"/>
    <mergeCell ref="A8:A9"/>
    <mergeCell ref="B8:B9"/>
    <mergeCell ref="A7:B7"/>
    <mergeCell ref="N7:AB7"/>
    <mergeCell ref="C8:G8"/>
    <mergeCell ref="N55:Q55"/>
    <mergeCell ref="H8:L8"/>
    <mergeCell ref="O52:Q52"/>
    <mergeCell ref="A54:AK54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50"/>
  <sheetViews>
    <sheetView view="pageBreakPreview" topLeftCell="A16" zoomScaleSheetLayoutView="100" workbookViewId="0">
      <selection activeCell="B37" sqref="B37"/>
    </sheetView>
  </sheetViews>
  <sheetFormatPr defaultRowHeight="12.75"/>
  <cols>
    <col min="1" max="1" width="6" customWidth="1"/>
    <col min="2" max="2" width="20.1406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>
      <c r="A1" s="919" t="s">
        <v>0</v>
      </c>
      <c r="B1" s="919"/>
      <c r="C1" s="919"/>
      <c r="D1" s="919"/>
      <c r="E1" s="919"/>
      <c r="G1" s="215" t="s">
        <v>640</v>
      </c>
    </row>
    <row r="2" spans="1:7" ht="21">
      <c r="A2" s="920" t="s">
        <v>705</v>
      </c>
      <c r="B2" s="920"/>
      <c r="C2" s="920"/>
      <c r="D2" s="920"/>
      <c r="E2" s="920"/>
      <c r="F2" s="920"/>
    </row>
    <row r="3" spans="1:7" ht="15">
      <c r="A3" s="217"/>
      <c r="B3" s="217"/>
    </row>
    <row r="4" spans="1:7" ht="18" customHeight="1">
      <c r="A4" s="921" t="s">
        <v>641</v>
      </c>
      <c r="B4" s="921"/>
      <c r="C4" s="921"/>
      <c r="D4" s="921"/>
      <c r="E4" s="921"/>
      <c r="F4" s="921"/>
    </row>
    <row r="5" spans="1:7" ht="15">
      <c r="A5" s="218" t="s">
        <v>922</v>
      </c>
      <c r="B5" s="218"/>
    </row>
    <row r="6" spans="1:7" ht="15">
      <c r="A6" s="218"/>
      <c r="B6" s="218"/>
      <c r="F6" s="922" t="s">
        <v>784</v>
      </c>
      <c r="G6" s="922"/>
    </row>
    <row r="7" spans="1:7" ht="42" customHeight="1">
      <c r="A7" s="219" t="s">
        <v>2</v>
      </c>
      <c r="B7" s="219" t="s">
        <v>3</v>
      </c>
      <c r="C7" s="335" t="s">
        <v>642</v>
      </c>
      <c r="D7" s="335" t="s">
        <v>643</v>
      </c>
      <c r="E7" s="335" t="s">
        <v>644</v>
      </c>
      <c r="F7" s="335" t="s">
        <v>645</v>
      </c>
      <c r="G7" s="316" t="s">
        <v>646</v>
      </c>
    </row>
    <row r="8" spans="1:7" s="215" customFormat="1" ht="15">
      <c r="A8" s="221" t="s">
        <v>264</v>
      </c>
      <c r="B8" s="221" t="s">
        <v>265</v>
      </c>
      <c r="C8" s="221" t="s">
        <v>266</v>
      </c>
      <c r="D8" s="221" t="s">
        <v>267</v>
      </c>
      <c r="E8" s="597" t="s">
        <v>268</v>
      </c>
      <c r="F8" s="597" t="s">
        <v>269</v>
      </c>
      <c r="G8" s="221" t="s">
        <v>270</v>
      </c>
    </row>
    <row r="9" spans="1:7" s="215" customFormat="1" ht="18.75">
      <c r="A9" s="8">
        <v>1</v>
      </c>
      <c r="B9" s="415" t="s">
        <v>889</v>
      </c>
      <c r="C9" s="221">
        <v>226149</v>
      </c>
      <c r="D9" s="374">
        <v>197295</v>
      </c>
      <c r="E9" s="598">
        <v>3945</v>
      </c>
      <c r="F9" s="235">
        <f>C9-D9-E9</f>
        <v>24909</v>
      </c>
      <c r="G9" s="596">
        <v>0</v>
      </c>
    </row>
    <row r="10" spans="1:7" s="215" customFormat="1" ht="18.75">
      <c r="A10" s="8">
        <v>2</v>
      </c>
      <c r="B10" s="415" t="s">
        <v>890</v>
      </c>
      <c r="C10" s="221">
        <v>293375</v>
      </c>
      <c r="D10" s="374">
        <v>200512</v>
      </c>
      <c r="E10" s="598">
        <v>4010</v>
      </c>
      <c r="F10" s="235">
        <f t="shared" ref="F10:F41" si="0">C10-D10-E10</f>
        <v>88853</v>
      </c>
      <c r="G10" s="596">
        <v>0</v>
      </c>
    </row>
    <row r="11" spans="1:7" s="215" customFormat="1" ht="18.75">
      <c r="A11" s="8">
        <v>3</v>
      </c>
      <c r="B11" s="415" t="s">
        <v>891</v>
      </c>
      <c r="C11" s="221">
        <v>279889</v>
      </c>
      <c r="D11" s="374">
        <v>188388</v>
      </c>
      <c r="E11" s="598">
        <v>3768</v>
      </c>
      <c r="F11" s="235">
        <f t="shared" si="0"/>
        <v>87733</v>
      </c>
      <c r="G11" s="596">
        <v>0</v>
      </c>
    </row>
    <row r="12" spans="1:7" s="215" customFormat="1" ht="18.75">
      <c r="A12" s="8">
        <v>4</v>
      </c>
      <c r="B12" s="415" t="s">
        <v>892</v>
      </c>
      <c r="C12" s="221">
        <v>121287</v>
      </c>
      <c r="D12" s="374">
        <v>93768</v>
      </c>
      <c r="E12" s="598">
        <v>1875</v>
      </c>
      <c r="F12" s="235">
        <f t="shared" si="0"/>
        <v>25644</v>
      </c>
      <c r="G12" s="596">
        <v>0</v>
      </c>
    </row>
    <row r="13" spans="1:7" s="215" customFormat="1" ht="18.75">
      <c r="A13" s="8">
        <v>5</v>
      </c>
      <c r="B13" s="415" t="s">
        <v>893</v>
      </c>
      <c r="C13" s="221">
        <v>408236</v>
      </c>
      <c r="D13" s="374">
        <v>366453</v>
      </c>
      <c r="E13" s="598">
        <v>7329</v>
      </c>
      <c r="F13" s="235">
        <f t="shared" si="0"/>
        <v>34454</v>
      </c>
      <c r="G13" s="596">
        <v>0</v>
      </c>
    </row>
    <row r="14" spans="1:7" s="215" customFormat="1" ht="18.75">
      <c r="A14" s="8">
        <v>6</v>
      </c>
      <c r="B14" s="415" t="s">
        <v>894</v>
      </c>
      <c r="C14" s="221">
        <v>200828</v>
      </c>
      <c r="D14" s="374">
        <v>166916</v>
      </c>
      <c r="E14" s="598">
        <v>3338</v>
      </c>
      <c r="F14" s="235">
        <f t="shared" si="0"/>
        <v>30574</v>
      </c>
      <c r="G14" s="596">
        <v>0</v>
      </c>
    </row>
    <row r="15" spans="1:7" s="215" customFormat="1" ht="18.75">
      <c r="A15" s="8">
        <v>7</v>
      </c>
      <c r="B15" s="415" t="s">
        <v>895</v>
      </c>
      <c r="C15" s="221">
        <v>267745</v>
      </c>
      <c r="D15" s="374">
        <v>225150</v>
      </c>
      <c r="E15" s="598">
        <v>4503</v>
      </c>
      <c r="F15" s="235">
        <f t="shared" si="0"/>
        <v>38092</v>
      </c>
      <c r="G15" s="596">
        <v>0</v>
      </c>
    </row>
    <row r="16" spans="1:7" s="215" customFormat="1" ht="18.75">
      <c r="A16" s="8">
        <v>8</v>
      </c>
      <c r="B16" s="415" t="s">
        <v>896</v>
      </c>
      <c r="C16" s="221">
        <v>199348</v>
      </c>
      <c r="D16" s="374">
        <v>165227</v>
      </c>
      <c r="E16" s="598">
        <v>3305</v>
      </c>
      <c r="F16" s="235">
        <f t="shared" si="0"/>
        <v>30816</v>
      </c>
      <c r="G16" s="596">
        <v>0</v>
      </c>
    </row>
    <row r="17" spans="1:7" s="215" customFormat="1" ht="18.75">
      <c r="A17" s="8">
        <v>9</v>
      </c>
      <c r="B17" s="415" t="s">
        <v>897</v>
      </c>
      <c r="C17" s="221">
        <v>111012</v>
      </c>
      <c r="D17" s="374">
        <v>99920</v>
      </c>
      <c r="E17" s="598">
        <v>1998</v>
      </c>
      <c r="F17" s="235">
        <f t="shared" si="0"/>
        <v>9094</v>
      </c>
      <c r="G17" s="596">
        <v>0</v>
      </c>
    </row>
    <row r="18" spans="1:7" s="215" customFormat="1" ht="18.75">
      <c r="A18" s="8">
        <v>10</v>
      </c>
      <c r="B18" s="415" t="s">
        <v>898</v>
      </c>
      <c r="C18" s="221">
        <v>155950</v>
      </c>
      <c r="D18" s="374">
        <v>124642</v>
      </c>
      <c r="E18" s="598">
        <v>2493</v>
      </c>
      <c r="F18" s="235">
        <f t="shared" si="0"/>
        <v>28815</v>
      </c>
      <c r="G18" s="596">
        <v>0</v>
      </c>
    </row>
    <row r="19" spans="1:7" s="215" customFormat="1" ht="18.75">
      <c r="A19" s="8">
        <v>11</v>
      </c>
      <c r="B19" s="415" t="s">
        <v>899</v>
      </c>
      <c r="C19" s="221">
        <v>167473</v>
      </c>
      <c r="D19" s="374">
        <v>143592</v>
      </c>
      <c r="E19" s="598">
        <v>2872</v>
      </c>
      <c r="F19" s="235">
        <f t="shared" si="0"/>
        <v>21009</v>
      </c>
      <c r="G19" s="596">
        <v>0</v>
      </c>
    </row>
    <row r="20" spans="1:7" s="215" customFormat="1" ht="18.75">
      <c r="A20" s="8">
        <v>12</v>
      </c>
      <c r="B20" s="415" t="s">
        <v>900</v>
      </c>
      <c r="C20" s="221">
        <v>131065</v>
      </c>
      <c r="D20" s="374">
        <v>123515</v>
      </c>
      <c r="E20" s="598">
        <v>2470</v>
      </c>
      <c r="F20" s="235">
        <f t="shared" si="0"/>
        <v>5080</v>
      </c>
      <c r="G20" s="596">
        <v>0</v>
      </c>
    </row>
    <row r="21" spans="1:7" s="215" customFormat="1" ht="18.75">
      <c r="A21" s="8">
        <v>13</v>
      </c>
      <c r="B21" s="415" t="s">
        <v>901</v>
      </c>
      <c r="C21" s="221">
        <v>151979</v>
      </c>
      <c r="D21" s="374">
        <v>118135</v>
      </c>
      <c r="E21" s="598">
        <v>2363</v>
      </c>
      <c r="F21" s="235">
        <f t="shared" si="0"/>
        <v>31481</v>
      </c>
      <c r="G21" s="596">
        <v>0</v>
      </c>
    </row>
    <row r="22" spans="1:7" s="215" customFormat="1" ht="18.75">
      <c r="A22" s="8">
        <v>14</v>
      </c>
      <c r="B22" s="415" t="s">
        <v>902</v>
      </c>
      <c r="C22" s="221">
        <v>213946</v>
      </c>
      <c r="D22" s="374">
        <v>190302</v>
      </c>
      <c r="E22" s="598">
        <v>3806</v>
      </c>
      <c r="F22" s="235">
        <f t="shared" si="0"/>
        <v>19838</v>
      </c>
      <c r="G22" s="596">
        <v>0</v>
      </c>
    </row>
    <row r="23" spans="1:7" s="215" customFormat="1" ht="18.75">
      <c r="A23" s="8">
        <v>15</v>
      </c>
      <c r="B23" s="415" t="s">
        <v>903</v>
      </c>
      <c r="C23" s="221">
        <v>143860</v>
      </c>
      <c r="D23" s="374">
        <v>139428</v>
      </c>
      <c r="E23" s="598">
        <v>2789</v>
      </c>
      <c r="F23" s="235">
        <f t="shared" si="0"/>
        <v>1643</v>
      </c>
      <c r="G23" s="596">
        <v>0</v>
      </c>
    </row>
    <row r="24" spans="1:7" s="215" customFormat="1" ht="18.75">
      <c r="A24" s="8">
        <v>16</v>
      </c>
      <c r="B24" s="415" t="s">
        <v>904</v>
      </c>
      <c r="C24" s="221">
        <v>123216</v>
      </c>
      <c r="D24" s="374">
        <v>100705</v>
      </c>
      <c r="E24" s="598">
        <v>2014</v>
      </c>
      <c r="F24" s="235">
        <f t="shared" si="0"/>
        <v>20497</v>
      </c>
      <c r="G24" s="596">
        <v>0</v>
      </c>
    </row>
    <row r="25" spans="1:7" s="215" customFormat="1" ht="18.75">
      <c r="A25" s="8">
        <v>17</v>
      </c>
      <c r="B25" s="415" t="s">
        <v>905</v>
      </c>
      <c r="C25" s="221">
        <v>315114</v>
      </c>
      <c r="D25" s="374">
        <v>305469</v>
      </c>
      <c r="E25" s="598">
        <v>6245</v>
      </c>
      <c r="F25" s="235">
        <f t="shared" si="0"/>
        <v>3400</v>
      </c>
      <c r="G25" s="596">
        <v>0</v>
      </c>
    </row>
    <row r="26" spans="1:7" s="215" customFormat="1" ht="18.75">
      <c r="A26" s="8">
        <v>18</v>
      </c>
      <c r="B26" s="415" t="s">
        <v>906</v>
      </c>
      <c r="C26" s="221">
        <v>96122</v>
      </c>
      <c r="D26" s="374">
        <v>73214</v>
      </c>
      <c r="E26" s="598">
        <v>1464</v>
      </c>
      <c r="F26" s="235">
        <f t="shared" si="0"/>
        <v>21444</v>
      </c>
      <c r="G26" s="596">
        <v>0</v>
      </c>
    </row>
    <row r="27" spans="1:7" s="215" customFormat="1" ht="18.75">
      <c r="A27" s="8">
        <v>19</v>
      </c>
      <c r="B27" s="415" t="s">
        <v>907</v>
      </c>
      <c r="C27" s="221">
        <v>204589</v>
      </c>
      <c r="D27" s="374">
        <v>173829</v>
      </c>
      <c r="E27" s="598">
        <v>3477</v>
      </c>
      <c r="F27" s="235">
        <f t="shared" si="0"/>
        <v>27283</v>
      </c>
      <c r="G27" s="596">
        <v>0</v>
      </c>
    </row>
    <row r="28" spans="1:7" s="215" customFormat="1" ht="18.75">
      <c r="A28" s="8">
        <v>20</v>
      </c>
      <c r="B28" s="415" t="s">
        <v>908</v>
      </c>
      <c r="C28" s="221">
        <v>156512</v>
      </c>
      <c r="D28" s="374">
        <v>149380</v>
      </c>
      <c r="E28" s="598">
        <v>2988</v>
      </c>
      <c r="F28" s="235">
        <f t="shared" si="0"/>
        <v>4144</v>
      </c>
      <c r="G28" s="596">
        <v>0</v>
      </c>
    </row>
    <row r="29" spans="1:7" s="215" customFormat="1" ht="18.75">
      <c r="A29" s="8">
        <v>21</v>
      </c>
      <c r="B29" s="415" t="s">
        <v>909</v>
      </c>
      <c r="C29" s="221">
        <v>102105</v>
      </c>
      <c r="D29" s="374">
        <v>82267</v>
      </c>
      <c r="E29" s="598">
        <v>1645</v>
      </c>
      <c r="F29" s="235">
        <f t="shared" si="0"/>
        <v>18193</v>
      </c>
      <c r="G29" s="596">
        <v>0</v>
      </c>
    </row>
    <row r="30" spans="1:7" s="215" customFormat="1" ht="18.75">
      <c r="A30" s="8">
        <v>22</v>
      </c>
      <c r="B30" s="415" t="s">
        <v>910</v>
      </c>
      <c r="C30" s="221">
        <v>310108</v>
      </c>
      <c r="D30" s="374">
        <v>245009</v>
      </c>
      <c r="E30" s="598">
        <v>4900</v>
      </c>
      <c r="F30" s="235">
        <f t="shared" si="0"/>
        <v>60199</v>
      </c>
      <c r="G30" s="596">
        <v>0</v>
      </c>
    </row>
    <row r="31" spans="1:7" s="215" customFormat="1" ht="18.75">
      <c r="A31" s="8">
        <v>23</v>
      </c>
      <c r="B31" s="415" t="s">
        <v>911</v>
      </c>
      <c r="C31" s="221">
        <v>136103</v>
      </c>
      <c r="D31" s="374">
        <v>64510</v>
      </c>
      <c r="E31" s="598">
        <v>1290</v>
      </c>
      <c r="F31" s="235">
        <f t="shared" si="0"/>
        <v>70303</v>
      </c>
      <c r="G31" s="596">
        <v>0</v>
      </c>
    </row>
    <row r="32" spans="1:7" s="215" customFormat="1" ht="18.75">
      <c r="A32" s="8">
        <v>24</v>
      </c>
      <c r="B32" s="415" t="s">
        <v>912</v>
      </c>
      <c r="C32" s="221">
        <v>110475</v>
      </c>
      <c r="D32" s="374">
        <v>87218</v>
      </c>
      <c r="E32" s="598">
        <v>1744</v>
      </c>
      <c r="F32" s="235">
        <f t="shared" si="0"/>
        <v>21513</v>
      </c>
      <c r="G32" s="596">
        <v>0</v>
      </c>
    </row>
    <row r="33" spans="1:9" s="215" customFormat="1" ht="18.75">
      <c r="A33" s="8">
        <v>25</v>
      </c>
      <c r="B33" s="415" t="s">
        <v>913</v>
      </c>
      <c r="C33" s="221">
        <v>276581</v>
      </c>
      <c r="D33" s="374">
        <v>199115</v>
      </c>
      <c r="E33" s="598">
        <v>3982</v>
      </c>
      <c r="F33" s="235">
        <f t="shared" si="0"/>
        <v>73484</v>
      </c>
      <c r="G33" s="596">
        <v>0</v>
      </c>
    </row>
    <row r="34" spans="1:9" s="215" customFormat="1" ht="18.75">
      <c r="A34" s="8">
        <v>26</v>
      </c>
      <c r="B34" s="415" t="s">
        <v>914</v>
      </c>
      <c r="C34" s="221">
        <v>189627</v>
      </c>
      <c r="D34" s="374">
        <v>179434</v>
      </c>
      <c r="E34" s="598">
        <v>3589</v>
      </c>
      <c r="F34" s="235">
        <f t="shared" si="0"/>
        <v>6604</v>
      </c>
      <c r="G34" s="596">
        <v>0</v>
      </c>
    </row>
    <row r="35" spans="1:9" s="215" customFormat="1" ht="18.75">
      <c r="A35" s="8">
        <v>27</v>
      </c>
      <c r="B35" s="415" t="s">
        <v>915</v>
      </c>
      <c r="C35" s="221">
        <v>128989</v>
      </c>
      <c r="D35" s="374">
        <v>87184</v>
      </c>
      <c r="E35" s="598">
        <v>1744</v>
      </c>
      <c r="F35" s="235">
        <f t="shared" si="0"/>
        <v>40061</v>
      </c>
      <c r="G35" s="596">
        <v>0</v>
      </c>
    </row>
    <row r="36" spans="1:9" s="215" customFormat="1" ht="18.75">
      <c r="A36" s="8">
        <v>28</v>
      </c>
      <c r="B36" s="415" t="s">
        <v>916</v>
      </c>
      <c r="C36" s="221">
        <v>157737</v>
      </c>
      <c r="D36" s="374">
        <v>146647</v>
      </c>
      <c r="E36" s="598">
        <v>2933</v>
      </c>
      <c r="F36" s="235">
        <f t="shared" si="0"/>
        <v>8157</v>
      </c>
      <c r="G36" s="596">
        <v>0</v>
      </c>
    </row>
    <row r="37" spans="1:9" s="215" customFormat="1" ht="18.75">
      <c r="A37" s="8">
        <v>29</v>
      </c>
      <c r="B37" s="415" t="s">
        <v>917</v>
      </c>
      <c r="C37" s="221">
        <v>113367</v>
      </c>
      <c r="D37" s="374">
        <v>76862</v>
      </c>
      <c r="E37" s="598">
        <v>1537</v>
      </c>
      <c r="F37" s="235">
        <f t="shared" si="0"/>
        <v>34968</v>
      </c>
      <c r="G37" s="596">
        <v>0</v>
      </c>
    </row>
    <row r="38" spans="1:9" s="215" customFormat="1" ht="18.75">
      <c r="A38" s="8">
        <v>30</v>
      </c>
      <c r="B38" s="415" t="s">
        <v>918</v>
      </c>
      <c r="C38" s="221">
        <v>162794</v>
      </c>
      <c r="D38" s="374">
        <v>148604</v>
      </c>
      <c r="E38" s="598">
        <v>2972</v>
      </c>
      <c r="F38" s="235">
        <f t="shared" si="0"/>
        <v>11218</v>
      </c>
      <c r="G38" s="596">
        <v>0</v>
      </c>
    </row>
    <row r="39" spans="1:9" s="215" customFormat="1" ht="18.75">
      <c r="A39" s="8">
        <v>31</v>
      </c>
      <c r="B39" s="415" t="s">
        <v>919</v>
      </c>
      <c r="C39" s="221">
        <v>115337</v>
      </c>
      <c r="D39" s="374">
        <v>99203</v>
      </c>
      <c r="E39" s="598">
        <v>1984</v>
      </c>
      <c r="F39" s="235">
        <f t="shared" si="0"/>
        <v>14150</v>
      </c>
      <c r="G39" s="596">
        <v>0</v>
      </c>
    </row>
    <row r="40" spans="1:9" s="215" customFormat="1" ht="18.75">
      <c r="A40" s="8">
        <v>32</v>
      </c>
      <c r="B40" s="415" t="s">
        <v>920</v>
      </c>
      <c r="C40" s="221">
        <v>118535</v>
      </c>
      <c r="D40" s="374">
        <v>104400</v>
      </c>
      <c r="E40" s="598">
        <v>2088</v>
      </c>
      <c r="F40" s="235">
        <f t="shared" si="0"/>
        <v>12047</v>
      </c>
      <c r="G40" s="596">
        <v>0</v>
      </c>
    </row>
    <row r="41" spans="1:9" s="215" customFormat="1" ht="18.75">
      <c r="A41" s="8">
        <v>33</v>
      </c>
      <c r="B41" s="415" t="s">
        <v>921</v>
      </c>
      <c r="C41" s="221">
        <v>375893</v>
      </c>
      <c r="D41" s="374">
        <v>352971</v>
      </c>
      <c r="E41" s="598">
        <v>7059</v>
      </c>
      <c r="F41" s="235">
        <f t="shared" si="0"/>
        <v>15863</v>
      </c>
      <c r="G41" s="596">
        <v>0</v>
      </c>
    </row>
    <row r="42" spans="1:9">
      <c r="B42" s="3" t="s">
        <v>19</v>
      </c>
      <c r="C42" s="483">
        <f>SUM(C9:C41)</f>
        <v>6265346</v>
      </c>
      <c r="D42" s="483">
        <f t="shared" ref="D42" si="1">SUM(D9:D41)</f>
        <v>5219264</v>
      </c>
      <c r="E42" s="483">
        <f t="shared" ref="E42" si="2">SUM(E9:E41)</f>
        <v>104519</v>
      </c>
      <c r="F42" s="483">
        <f t="shared" ref="F42" si="3">SUM(F9:F41)</f>
        <v>941563</v>
      </c>
      <c r="G42" s="9"/>
    </row>
    <row r="46" spans="1:9" ht="15" customHeight="1">
      <c r="A46" s="336"/>
      <c r="B46" s="336"/>
      <c r="C46" s="336"/>
      <c r="D46" s="336"/>
      <c r="E46" s="943" t="s">
        <v>13</v>
      </c>
      <c r="F46" s="943"/>
      <c r="G46" s="337"/>
      <c r="H46" s="337"/>
      <c r="I46" s="337"/>
    </row>
    <row r="47" spans="1:9" ht="15" customHeight="1">
      <c r="A47" s="336"/>
      <c r="B47" s="336"/>
      <c r="C47" s="336"/>
      <c r="D47" s="336"/>
      <c r="E47" s="943" t="s">
        <v>14</v>
      </c>
      <c r="F47" s="943"/>
      <c r="G47" s="337"/>
      <c r="H47" s="337"/>
      <c r="I47" s="337"/>
    </row>
    <row r="48" spans="1:9" ht="15" customHeight="1">
      <c r="A48" s="336"/>
      <c r="B48" s="336"/>
      <c r="C48" s="336"/>
      <c r="D48" s="336"/>
      <c r="E48" s="943" t="s">
        <v>90</v>
      </c>
      <c r="F48" s="943"/>
      <c r="G48" s="337"/>
      <c r="H48" s="337"/>
      <c r="I48" s="337"/>
    </row>
    <row r="49" spans="1:13">
      <c r="A49" s="336" t="s">
        <v>12</v>
      </c>
      <c r="C49" s="336"/>
      <c r="D49" s="336"/>
      <c r="E49" s="336"/>
      <c r="F49" s="338" t="s">
        <v>87</v>
      </c>
      <c r="G49" s="339"/>
      <c r="H49" s="336"/>
      <c r="I49" s="336"/>
    </row>
    <row r="50" spans="1:13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</row>
  </sheetData>
  <mergeCells count="7">
    <mergeCell ref="E48:F48"/>
    <mergeCell ref="A1:E1"/>
    <mergeCell ref="A2:F2"/>
    <mergeCell ref="A4:F4"/>
    <mergeCell ref="E46:F46"/>
    <mergeCell ref="E47:F47"/>
    <mergeCell ref="F6:G6"/>
  </mergeCell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J58"/>
  <sheetViews>
    <sheetView view="pageBreakPreview" topLeftCell="A31" zoomScale="90" zoomScaleSheetLayoutView="90" workbookViewId="0">
      <selection activeCell="C44" sqref="C44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5.140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4" width="19.28515625" style="735" customWidth="1"/>
    <col min="15" max="15" width="15.140625" style="735" customWidth="1"/>
    <col min="16" max="16" width="19.28515625" style="654" customWidth="1"/>
    <col min="17" max="17" width="13.7109375" style="654" customWidth="1"/>
    <col min="18" max="18" width="19.28515625" style="654" customWidth="1"/>
    <col min="19" max="22" width="19.28515625" style="509" customWidth="1"/>
    <col min="23" max="23" width="12.140625" style="15" bestFit="1" customWidth="1"/>
    <col min="24" max="24" width="11.28515625" style="15" customWidth="1"/>
    <col min="25" max="25" width="12.5703125" style="15" customWidth="1"/>
    <col min="26" max="26" width="12.7109375" style="15" customWidth="1"/>
    <col min="27" max="27" width="9.140625" style="509"/>
    <col min="28" max="28" width="10" style="509" bestFit="1" customWidth="1"/>
    <col min="29" max="29" width="9.140625" style="15"/>
    <col min="30" max="31" width="9.140625" style="541"/>
    <col min="32" max="33" width="9.140625" style="15"/>
    <col min="34" max="34" width="11.42578125" style="15" customWidth="1"/>
    <col min="35" max="35" width="11.7109375" style="15" customWidth="1"/>
    <col min="36" max="36" width="11.140625" style="15" bestFit="1" customWidth="1"/>
    <col min="37" max="16384" width="9.140625" style="15"/>
  </cols>
  <sheetData>
    <row r="1" spans="1:35" customFormat="1">
      <c r="E1" s="851"/>
      <c r="F1" s="851"/>
      <c r="G1" s="851"/>
      <c r="H1" s="851"/>
      <c r="I1" s="851"/>
      <c r="J1" s="149" t="s">
        <v>65</v>
      </c>
      <c r="K1" s="736"/>
      <c r="L1" s="736"/>
      <c r="M1" s="736"/>
      <c r="N1" s="736"/>
      <c r="O1" s="736"/>
      <c r="P1" s="656"/>
      <c r="Q1" s="656"/>
      <c r="R1" s="656"/>
      <c r="S1" s="511"/>
      <c r="T1" s="511"/>
      <c r="U1" s="511"/>
      <c r="V1" s="511"/>
    </row>
    <row r="2" spans="1:35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733"/>
      <c r="L2" s="733"/>
      <c r="M2" s="733"/>
      <c r="N2" s="733"/>
      <c r="O2" s="733"/>
      <c r="P2" s="650"/>
      <c r="Q2" s="650"/>
      <c r="R2" s="650"/>
      <c r="S2" s="506"/>
      <c r="T2" s="506"/>
      <c r="U2" s="506"/>
      <c r="V2" s="506"/>
    </row>
    <row r="3" spans="1:35" customFormat="1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  <c r="K3" s="726"/>
      <c r="L3" s="726"/>
      <c r="M3" s="726"/>
      <c r="N3" s="726"/>
      <c r="O3" s="726"/>
      <c r="P3" s="645"/>
      <c r="Q3" s="645"/>
      <c r="R3" s="645"/>
      <c r="S3" s="500"/>
      <c r="T3" s="500"/>
      <c r="U3" s="500"/>
      <c r="V3" s="500"/>
    </row>
    <row r="4" spans="1:35" customFormat="1" ht="14.25" customHeight="1"/>
    <row r="5" spans="1:35" ht="31.5" customHeight="1">
      <c r="A5" s="933" t="s">
        <v>751</v>
      </c>
      <c r="B5" s="933"/>
      <c r="C5" s="933"/>
      <c r="D5" s="933"/>
      <c r="E5" s="933"/>
      <c r="F5" s="933"/>
      <c r="G5" s="933"/>
      <c r="H5" s="933"/>
      <c r="I5" s="933"/>
      <c r="J5" s="933"/>
      <c r="K5" s="734"/>
      <c r="L5" s="734"/>
      <c r="M5" s="734"/>
      <c r="N5" s="734"/>
      <c r="O5" s="734"/>
      <c r="P5" s="651"/>
      <c r="Q5" s="651"/>
      <c r="R5" s="651"/>
      <c r="S5" s="507"/>
      <c r="T5" s="507"/>
      <c r="U5" s="507"/>
      <c r="V5" s="507"/>
    </row>
    <row r="6" spans="1:35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728"/>
      <c r="L6" s="728"/>
      <c r="M6" s="728"/>
      <c r="N6" s="728"/>
      <c r="O6" s="728"/>
      <c r="P6" s="646"/>
      <c r="Q6" s="646"/>
      <c r="R6" s="646"/>
      <c r="S6" s="501"/>
      <c r="T6" s="501"/>
      <c r="U6" s="501"/>
      <c r="V6" s="501"/>
    </row>
    <row r="7" spans="1:35" ht="0.75" customHeight="1"/>
    <row r="8" spans="1:35">
      <c r="A8" s="850" t="s">
        <v>922</v>
      </c>
      <c r="B8" s="850"/>
      <c r="C8" s="32"/>
      <c r="H8" s="922" t="s">
        <v>782</v>
      </c>
      <c r="I8" s="922"/>
      <c r="J8" s="922"/>
      <c r="K8" s="731"/>
      <c r="L8" s="731"/>
      <c r="M8" s="731"/>
      <c r="N8" s="731"/>
      <c r="O8" s="731"/>
      <c r="P8" s="647"/>
      <c r="Q8" s="647"/>
      <c r="R8" s="647"/>
      <c r="S8" s="502"/>
      <c r="T8" s="502"/>
      <c r="U8" s="502"/>
      <c r="V8" s="502"/>
      <c r="W8" s="107"/>
      <c r="X8" s="107"/>
    </row>
    <row r="9" spans="1:35">
      <c r="A9" s="844" t="s">
        <v>2</v>
      </c>
      <c r="B9" s="844" t="s">
        <v>3</v>
      </c>
      <c r="C9" s="825" t="s">
        <v>752</v>
      </c>
      <c r="D9" s="856"/>
      <c r="E9" s="856"/>
      <c r="F9" s="826"/>
      <c r="G9" s="825" t="s">
        <v>108</v>
      </c>
      <c r="H9" s="856"/>
      <c r="I9" s="856"/>
      <c r="J9" s="826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AG9" s="19"/>
      <c r="AH9" s="22"/>
    </row>
    <row r="10" spans="1:35" ht="64.5" customHeight="1">
      <c r="A10" s="844"/>
      <c r="B10" s="844"/>
      <c r="C10" s="5" t="s">
        <v>187</v>
      </c>
      <c r="D10" s="5" t="s">
        <v>17</v>
      </c>
      <c r="E10" s="7" t="s">
        <v>783</v>
      </c>
      <c r="F10" s="7" t="s">
        <v>204</v>
      </c>
      <c r="G10" s="5" t="s">
        <v>187</v>
      </c>
      <c r="H10" s="26" t="s">
        <v>18</v>
      </c>
      <c r="I10" s="112" t="s">
        <v>872</v>
      </c>
      <c r="J10" s="5" t="s">
        <v>873</v>
      </c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</row>
    <row r="11" spans="1:3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</row>
    <row r="12" spans="1:35" ht="14.25">
      <c r="A12" s="18">
        <v>1</v>
      </c>
      <c r="B12" s="385" t="s">
        <v>889</v>
      </c>
      <c r="C12" s="454">
        <v>726</v>
      </c>
      <c r="D12" s="454">
        <v>100127</v>
      </c>
      <c r="E12" s="421">
        <v>232</v>
      </c>
      <c r="F12" s="427">
        <f>D12*E12</f>
        <v>23229464</v>
      </c>
      <c r="G12" s="445">
        <v>726</v>
      </c>
      <c r="H12" s="29">
        <v>22913944</v>
      </c>
      <c r="I12" s="459">
        <v>232</v>
      </c>
      <c r="J12" s="29">
        <f>H12/I12</f>
        <v>98767</v>
      </c>
      <c r="K12" s="22">
        <f>D12-J12</f>
        <v>1360</v>
      </c>
      <c r="L12" s="561">
        <f>J12/D12*100</f>
        <v>98.641725009238272</v>
      </c>
      <c r="M12" s="550">
        <v>105127.31244457859</v>
      </c>
      <c r="N12" s="550">
        <f>M12-D12</f>
        <v>5000.3124445785943</v>
      </c>
      <c r="O12" s="550">
        <f>32282/32310*G12</f>
        <v>725.37084493964721</v>
      </c>
      <c r="P12" s="561">
        <f>D12*E12*2.61/100000</f>
        <v>606.28901039999994</v>
      </c>
      <c r="Q12" s="561">
        <f>E12*D12*1.74/100000</f>
        <v>404.19267359999998</v>
      </c>
      <c r="R12" s="561">
        <f>P12+'T5C_Drought_PLAN_vs_PRFM '!K12</f>
        <v>606.28901039999994</v>
      </c>
      <c r="S12" s="561">
        <f>Q12+'T5C_Drought_PLAN_vs_PRFM '!L12</f>
        <v>404.19267359999998</v>
      </c>
      <c r="T12" s="561">
        <f>J12/D12</f>
        <v>0.98641725009238268</v>
      </c>
      <c r="U12" s="22">
        <f>J12*232*4.13/100000</f>
        <v>946.34588719999999</v>
      </c>
      <c r="V12" s="561">
        <f>U12*0.6</f>
        <v>567.80753231999995</v>
      </c>
      <c r="W12" s="464">
        <f>U12-V12</f>
        <v>378.53835488000004</v>
      </c>
      <c r="X12" s="464"/>
      <c r="Z12" s="464"/>
      <c r="AA12" s="464"/>
      <c r="AB12" s="464"/>
      <c r="AG12" s="15">
        <f>H12*100/1000000</f>
        <v>2291.3944000000001</v>
      </c>
      <c r="AH12" s="15">
        <f>D12*232</f>
        <v>23229464</v>
      </c>
      <c r="AI12" s="15">
        <f>AH12*100/1000000</f>
        <v>2322.9463999999998</v>
      </c>
    </row>
    <row r="13" spans="1:35" ht="14.25">
      <c r="A13" s="18">
        <v>2</v>
      </c>
      <c r="B13" s="385" t="s">
        <v>890</v>
      </c>
      <c r="C13" s="454">
        <v>1073</v>
      </c>
      <c r="D13" s="454">
        <v>129671</v>
      </c>
      <c r="E13" s="421">
        <v>232</v>
      </c>
      <c r="F13" s="427">
        <f t="shared" ref="F13:F44" si="0">D13*E13</f>
        <v>30083672</v>
      </c>
      <c r="G13" s="445">
        <v>1074</v>
      </c>
      <c r="H13" s="29">
        <v>29978344</v>
      </c>
      <c r="I13" s="459">
        <v>232</v>
      </c>
      <c r="J13" s="29">
        <f t="shared" ref="J13:J44" si="1">H13/I13</f>
        <v>129217</v>
      </c>
      <c r="K13" s="22">
        <f t="shared" ref="K13:K45" si="2">D13-J13</f>
        <v>454</v>
      </c>
      <c r="L13" s="561">
        <f t="shared" ref="L13:L45" si="3">J13/D13*100</f>
        <v>99.649883165858213</v>
      </c>
      <c r="M13" s="550">
        <v>142671.39904819845</v>
      </c>
      <c r="N13" s="550">
        <f t="shared" ref="N13:N45" si="4">M13-D13</f>
        <v>13000.399048198451</v>
      </c>
      <c r="O13" s="550">
        <f t="shared" ref="O13:O45" si="5">32282/32310*G13</f>
        <v>1073.0692664809658</v>
      </c>
      <c r="P13" s="561">
        <f t="shared" ref="P13:P44" si="6">D13*E13*2.61/100000</f>
        <v>785.18383919999997</v>
      </c>
      <c r="Q13" s="561">
        <f t="shared" ref="Q13:Q44" si="7">E13*D13*1.74/100000</f>
        <v>523.45589280000002</v>
      </c>
      <c r="R13" s="561">
        <f>P13+'T5C_Drought_PLAN_vs_PRFM '!K13</f>
        <v>785.18383919999997</v>
      </c>
      <c r="S13" s="561">
        <f>Q13+'T5C_Drought_PLAN_vs_PRFM '!L13</f>
        <v>523.45589280000002</v>
      </c>
      <c r="T13" s="561">
        <f t="shared" ref="T13:T44" si="8">J13/D13</f>
        <v>0.99649883165858211</v>
      </c>
      <c r="U13" s="22">
        <f t="shared" ref="U13:U44" si="9">J13*232*4.13/100000</f>
        <v>1238.1056071999999</v>
      </c>
      <c r="V13" s="561">
        <f t="shared" ref="V13:V44" si="10">U13*0.6</f>
        <v>742.86336431999996</v>
      </c>
      <c r="W13" s="464">
        <f t="shared" ref="W13:W44" si="11">U13-V13</f>
        <v>495.24224287999994</v>
      </c>
      <c r="X13" s="464"/>
      <c r="Z13" s="464"/>
      <c r="AB13" s="464"/>
      <c r="AC13" s="541"/>
      <c r="AG13" s="480">
        <f t="shared" ref="AG13:AG45" si="12">H13*100/1000000</f>
        <v>2997.8344000000002</v>
      </c>
      <c r="AH13" s="509">
        <f t="shared" ref="AH13:AH45" si="13">D13*232</f>
        <v>30083672</v>
      </c>
      <c r="AI13" s="509">
        <f t="shared" ref="AI13:AI45" si="14">AH13*100/1000000</f>
        <v>3008.3672000000001</v>
      </c>
    </row>
    <row r="14" spans="1:35" ht="14.25">
      <c r="A14" s="18">
        <v>3</v>
      </c>
      <c r="B14" s="385" t="s">
        <v>891</v>
      </c>
      <c r="C14" s="454">
        <v>1721</v>
      </c>
      <c r="D14" s="454">
        <v>136224</v>
      </c>
      <c r="E14" s="421">
        <v>232</v>
      </c>
      <c r="F14" s="427">
        <f t="shared" si="0"/>
        <v>31603968</v>
      </c>
      <c r="G14" s="445">
        <v>1722</v>
      </c>
      <c r="H14" s="29">
        <v>31137648</v>
      </c>
      <c r="I14" s="459">
        <v>232</v>
      </c>
      <c r="J14" s="29">
        <f t="shared" si="1"/>
        <v>134214</v>
      </c>
      <c r="K14" s="22">
        <f t="shared" si="2"/>
        <v>2010</v>
      </c>
      <c r="L14" s="561">
        <f t="shared" si="3"/>
        <v>98.52448907681466</v>
      </c>
      <c r="M14" s="550">
        <v>136224.2392296757</v>
      </c>
      <c r="N14" s="550">
        <f t="shared" si="4"/>
        <v>0.23922967570251785</v>
      </c>
      <c r="O14" s="550">
        <f t="shared" si="5"/>
        <v>1720.5077065923863</v>
      </c>
      <c r="P14" s="561">
        <f t="shared" si="6"/>
        <v>824.86356479999995</v>
      </c>
      <c r="Q14" s="561">
        <f t="shared" si="7"/>
        <v>549.90904320000004</v>
      </c>
      <c r="R14" s="561">
        <f>P14+'T5C_Drought_PLAN_vs_PRFM '!K14</f>
        <v>824.86356479999995</v>
      </c>
      <c r="S14" s="561">
        <f>Q14+'T5C_Drought_PLAN_vs_PRFM '!L14</f>
        <v>549.90904320000004</v>
      </c>
      <c r="T14" s="561">
        <f t="shared" si="8"/>
        <v>0.98524489076814659</v>
      </c>
      <c r="U14" s="22">
        <f t="shared" si="9"/>
        <v>1285.9848623999999</v>
      </c>
      <c r="V14" s="561">
        <f t="shared" si="10"/>
        <v>771.59091743999988</v>
      </c>
      <c r="W14" s="464">
        <f t="shared" si="11"/>
        <v>514.39394496</v>
      </c>
      <c r="X14" s="464"/>
      <c r="Z14" s="464"/>
      <c r="AB14" s="464"/>
      <c r="AC14" s="541"/>
      <c r="AG14" s="480">
        <f t="shared" si="12"/>
        <v>3113.7647999999999</v>
      </c>
      <c r="AH14" s="509">
        <f t="shared" si="13"/>
        <v>31603968</v>
      </c>
      <c r="AI14" s="509">
        <f t="shared" si="14"/>
        <v>3160.3968</v>
      </c>
    </row>
    <row r="15" spans="1:35" ht="14.25">
      <c r="A15" s="18">
        <v>4</v>
      </c>
      <c r="B15" s="385" t="s">
        <v>892</v>
      </c>
      <c r="C15" s="454">
        <v>612</v>
      </c>
      <c r="D15" s="454">
        <v>79215</v>
      </c>
      <c r="E15" s="421">
        <v>232</v>
      </c>
      <c r="F15" s="427">
        <f t="shared" si="0"/>
        <v>18377880</v>
      </c>
      <c r="G15" s="445">
        <v>613</v>
      </c>
      <c r="H15" s="29">
        <v>18404328</v>
      </c>
      <c r="I15" s="459">
        <v>232</v>
      </c>
      <c r="J15" s="29">
        <f t="shared" si="1"/>
        <v>79329</v>
      </c>
      <c r="K15" s="22">
        <f t="shared" si="2"/>
        <v>-114</v>
      </c>
      <c r="L15" s="561">
        <f t="shared" si="3"/>
        <v>100.14391213785268</v>
      </c>
      <c r="M15" s="550">
        <v>57215.433604569153</v>
      </c>
      <c r="N15" s="550">
        <f t="shared" si="4"/>
        <v>-21999.566395430847</v>
      </c>
      <c r="O15" s="550">
        <f t="shared" si="5"/>
        <v>612.46877127824212</v>
      </c>
      <c r="P15" s="561">
        <f t="shared" si="6"/>
        <v>479.662668</v>
      </c>
      <c r="Q15" s="561">
        <f t="shared" si="7"/>
        <v>319.77511199999998</v>
      </c>
      <c r="R15" s="561">
        <f>P15+'T5C_Drought_PLAN_vs_PRFM '!K15</f>
        <v>479.662668</v>
      </c>
      <c r="S15" s="561">
        <f>Q15+'T5C_Drought_PLAN_vs_PRFM '!L15</f>
        <v>319.77511199999998</v>
      </c>
      <c r="T15" s="561">
        <f t="shared" si="8"/>
        <v>1.0014391213785268</v>
      </c>
      <c r="U15" s="22">
        <f t="shared" si="9"/>
        <v>760.09874639999998</v>
      </c>
      <c r="V15" s="561">
        <f t="shared" si="10"/>
        <v>456.05924783999995</v>
      </c>
      <c r="W15" s="464">
        <f t="shared" si="11"/>
        <v>304.03949856000003</v>
      </c>
      <c r="X15" s="464"/>
      <c r="Z15" s="464"/>
      <c r="AB15" s="464"/>
      <c r="AC15" s="541"/>
      <c r="AG15" s="480">
        <f t="shared" si="12"/>
        <v>1840.4328</v>
      </c>
      <c r="AH15" s="509">
        <f t="shared" si="13"/>
        <v>18377880</v>
      </c>
      <c r="AI15" s="509">
        <f t="shared" si="14"/>
        <v>1837.788</v>
      </c>
    </row>
    <row r="16" spans="1:35" ht="14.25">
      <c r="A16" s="18">
        <v>5</v>
      </c>
      <c r="B16" s="385" t="s">
        <v>893</v>
      </c>
      <c r="C16" s="454">
        <v>3046</v>
      </c>
      <c r="D16" s="454">
        <v>207859</v>
      </c>
      <c r="E16" s="421">
        <v>232</v>
      </c>
      <c r="F16" s="427">
        <f t="shared" si="0"/>
        <v>48223288</v>
      </c>
      <c r="G16" s="445">
        <v>3049</v>
      </c>
      <c r="H16" s="29">
        <v>48288248</v>
      </c>
      <c r="I16" s="459">
        <v>232</v>
      </c>
      <c r="J16" s="29">
        <f t="shared" si="1"/>
        <v>208139</v>
      </c>
      <c r="K16" s="22">
        <f t="shared" si="2"/>
        <v>-280</v>
      </c>
      <c r="L16" s="561">
        <f t="shared" si="3"/>
        <v>100.13470670021505</v>
      </c>
      <c r="M16" s="550">
        <v>202859.32623209507</v>
      </c>
      <c r="N16" s="550">
        <f t="shared" si="4"/>
        <v>-4999.6737679049256</v>
      </c>
      <c r="O16" s="550">
        <f t="shared" si="5"/>
        <v>3046.3577220674715</v>
      </c>
      <c r="P16" s="561">
        <f t="shared" si="6"/>
        <v>1258.6278167999999</v>
      </c>
      <c r="Q16" s="561">
        <f t="shared" si="7"/>
        <v>839.0852112</v>
      </c>
      <c r="R16" s="561">
        <f>P16+'T5C_Drought_PLAN_vs_PRFM '!K16</f>
        <v>1446.3142167999999</v>
      </c>
      <c r="S16" s="561">
        <f>Q16+'T5C_Drought_PLAN_vs_PRFM '!L16</f>
        <v>963.95721119999996</v>
      </c>
      <c r="T16" s="561">
        <f t="shared" si="8"/>
        <v>1.0013470670021505</v>
      </c>
      <c r="U16" s="22">
        <f t="shared" si="9"/>
        <v>1994.3046424000001</v>
      </c>
      <c r="V16" s="561">
        <f t="shared" si="10"/>
        <v>1196.58278544</v>
      </c>
      <c r="W16" s="464">
        <f t="shared" si="11"/>
        <v>797.7218569600002</v>
      </c>
      <c r="X16" s="464"/>
      <c r="Z16" s="464"/>
      <c r="AB16" s="464"/>
      <c r="AC16" s="541"/>
      <c r="AG16" s="480">
        <f t="shared" si="12"/>
        <v>4828.8248000000003</v>
      </c>
      <c r="AH16" s="509">
        <f t="shared" si="13"/>
        <v>48223288</v>
      </c>
      <c r="AI16" s="509">
        <f t="shared" si="14"/>
        <v>4822.3288000000002</v>
      </c>
    </row>
    <row r="17" spans="1:35" ht="14.25">
      <c r="A17" s="18">
        <v>6</v>
      </c>
      <c r="B17" s="385" t="s">
        <v>894</v>
      </c>
      <c r="C17" s="454">
        <v>638</v>
      </c>
      <c r="D17" s="454">
        <v>90794</v>
      </c>
      <c r="E17" s="421">
        <v>232</v>
      </c>
      <c r="F17" s="427">
        <f t="shared" si="0"/>
        <v>21064208</v>
      </c>
      <c r="G17" s="445">
        <v>639</v>
      </c>
      <c r="H17" s="29">
        <v>20920368</v>
      </c>
      <c r="I17" s="459">
        <v>232</v>
      </c>
      <c r="J17" s="29">
        <f t="shared" si="1"/>
        <v>90174</v>
      </c>
      <c r="K17" s="22">
        <f t="shared" si="2"/>
        <v>620</v>
      </c>
      <c r="L17" s="561">
        <f t="shared" si="3"/>
        <v>99.317135493534821</v>
      </c>
      <c r="M17" s="550">
        <v>97793.748775059867</v>
      </c>
      <c r="N17" s="550">
        <f t="shared" si="4"/>
        <v>6999.7487750598666</v>
      </c>
      <c r="O17" s="550">
        <f t="shared" si="5"/>
        <v>638.44623955431757</v>
      </c>
      <c r="P17" s="561">
        <f t="shared" si="6"/>
        <v>549.7758288</v>
      </c>
      <c r="Q17" s="561">
        <f t="shared" si="7"/>
        <v>366.5172192</v>
      </c>
      <c r="R17" s="561">
        <f>P17+'T5C_Drought_PLAN_vs_PRFM '!K17</f>
        <v>549.7758288</v>
      </c>
      <c r="S17" s="561">
        <f>Q17+'T5C_Drought_PLAN_vs_PRFM '!L17</f>
        <v>366.5172192</v>
      </c>
      <c r="T17" s="561">
        <f t="shared" si="8"/>
        <v>0.99317135493534814</v>
      </c>
      <c r="U17" s="22">
        <f t="shared" si="9"/>
        <v>864.01119840000001</v>
      </c>
      <c r="V17" s="561">
        <f t="shared" si="10"/>
        <v>518.40671903999998</v>
      </c>
      <c r="W17" s="464">
        <f t="shared" si="11"/>
        <v>345.60447936000003</v>
      </c>
      <c r="X17" s="464"/>
      <c r="Z17" s="464"/>
      <c r="AB17" s="464"/>
      <c r="AC17" s="541"/>
      <c r="AG17" s="480">
        <f t="shared" si="12"/>
        <v>2092.0367999999999</v>
      </c>
      <c r="AH17" s="509">
        <f t="shared" si="13"/>
        <v>21064208</v>
      </c>
      <c r="AI17" s="509">
        <f t="shared" si="14"/>
        <v>2106.4207999999999</v>
      </c>
    </row>
    <row r="18" spans="1:35" ht="14.25">
      <c r="A18" s="18">
        <v>7</v>
      </c>
      <c r="B18" s="385" t="s">
        <v>895</v>
      </c>
      <c r="C18" s="454">
        <v>1414</v>
      </c>
      <c r="D18" s="454">
        <v>138234</v>
      </c>
      <c r="E18" s="421">
        <v>232</v>
      </c>
      <c r="F18" s="427">
        <f t="shared" si="0"/>
        <v>32070288</v>
      </c>
      <c r="G18" s="445">
        <v>1415</v>
      </c>
      <c r="H18" s="29">
        <v>32180720</v>
      </c>
      <c r="I18" s="459">
        <v>232</v>
      </c>
      <c r="J18" s="29">
        <f t="shared" si="1"/>
        <v>138710</v>
      </c>
      <c r="K18" s="22">
        <f t="shared" si="2"/>
        <v>-476</v>
      </c>
      <c r="L18" s="561">
        <f t="shared" si="3"/>
        <v>100.34434364917459</v>
      </c>
      <c r="M18" s="550">
        <v>126234.2282603426</v>
      </c>
      <c r="N18" s="550">
        <f t="shared" si="4"/>
        <v>-11999.771739657401</v>
      </c>
      <c r="O18" s="550">
        <f t="shared" si="5"/>
        <v>1413.7737542556486</v>
      </c>
      <c r="P18" s="561">
        <f t="shared" si="6"/>
        <v>837.03451679999989</v>
      </c>
      <c r="Q18" s="561">
        <f t="shared" si="7"/>
        <v>558.02301119999993</v>
      </c>
      <c r="R18" s="561">
        <f>P18+'T5C_Drought_PLAN_vs_PRFM '!K18</f>
        <v>900.42331679999984</v>
      </c>
      <c r="S18" s="561">
        <f>Q18+'T5C_Drought_PLAN_vs_PRFM '!L18</f>
        <v>600.19701119999991</v>
      </c>
      <c r="T18" s="561">
        <f t="shared" si="8"/>
        <v>1.0034434364917459</v>
      </c>
      <c r="U18" s="22">
        <f t="shared" si="9"/>
        <v>1329.0637359999998</v>
      </c>
      <c r="V18" s="561">
        <f t="shared" si="10"/>
        <v>797.43824159999986</v>
      </c>
      <c r="W18" s="464">
        <f t="shared" si="11"/>
        <v>531.62549439999998</v>
      </c>
      <c r="X18" s="464"/>
      <c r="Z18" s="464"/>
      <c r="AB18" s="464"/>
      <c r="AC18" s="541"/>
      <c r="AG18" s="480">
        <f t="shared" si="12"/>
        <v>3218.0720000000001</v>
      </c>
      <c r="AH18" s="509">
        <f t="shared" si="13"/>
        <v>32070288</v>
      </c>
      <c r="AI18" s="509">
        <f t="shared" si="14"/>
        <v>3207.0288</v>
      </c>
    </row>
    <row r="19" spans="1:35" ht="14.25">
      <c r="A19" s="18">
        <v>8</v>
      </c>
      <c r="B19" s="385" t="s">
        <v>896</v>
      </c>
      <c r="C19" s="454">
        <v>1109</v>
      </c>
      <c r="D19" s="454">
        <v>94117</v>
      </c>
      <c r="E19" s="421">
        <v>232</v>
      </c>
      <c r="F19" s="427">
        <f t="shared" si="0"/>
        <v>21835144</v>
      </c>
      <c r="G19" s="445">
        <v>1110</v>
      </c>
      <c r="H19" s="29">
        <v>22323968</v>
      </c>
      <c r="I19" s="459">
        <v>232</v>
      </c>
      <c r="J19" s="29">
        <f t="shared" si="1"/>
        <v>96224</v>
      </c>
      <c r="K19" s="22">
        <f t="shared" si="2"/>
        <v>-2107</v>
      </c>
      <c r="L19" s="561">
        <f t="shared" si="3"/>
        <v>102.23870289108237</v>
      </c>
      <c r="M19" s="550">
        <v>94117.292054192949</v>
      </c>
      <c r="N19" s="550">
        <f t="shared" si="4"/>
        <v>0.2920541929488536</v>
      </c>
      <c r="O19" s="550">
        <f t="shared" si="5"/>
        <v>1109.038068709378</v>
      </c>
      <c r="P19" s="561">
        <f t="shared" si="6"/>
        <v>569.89725839999994</v>
      </c>
      <c r="Q19" s="561">
        <f t="shared" si="7"/>
        <v>379.93150560000004</v>
      </c>
      <c r="R19" s="561">
        <f>P19+'T5C_Drought_PLAN_vs_PRFM '!K19</f>
        <v>579.22205839999992</v>
      </c>
      <c r="S19" s="561">
        <f>Q19+'T5C_Drought_PLAN_vs_PRFM '!L19</f>
        <v>386.13550560000004</v>
      </c>
      <c r="T19" s="561">
        <f t="shared" si="8"/>
        <v>1.0223870289108237</v>
      </c>
      <c r="U19" s="22">
        <f t="shared" si="9"/>
        <v>921.97987840000008</v>
      </c>
      <c r="V19" s="561">
        <f t="shared" si="10"/>
        <v>553.18792703999998</v>
      </c>
      <c r="W19" s="464">
        <f t="shared" si="11"/>
        <v>368.7919513600001</v>
      </c>
      <c r="X19" s="464"/>
      <c r="Z19" s="464"/>
      <c r="AB19" s="464"/>
      <c r="AC19" s="541"/>
      <c r="AG19" s="480">
        <f t="shared" si="12"/>
        <v>2232.3968</v>
      </c>
      <c r="AH19" s="509">
        <f t="shared" si="13"/>
        <v>21835144</v>
      </c>
      <c r="AI19" s="509">
        <f t="shared" si="14"/>
        <v>2183.5144</v>
      </c>
    </row>
    <row r="20" spans="1:35" ht="14.25">
      <c r="A20" s="18">
        <v>9</v>
      </c>
      <c r="B20" s="385" t="s">
        <v>897</v>
      </c>
      <c r="C20" s="454">
        <v>639</v>
      </c>
      <c r="D20" s="454">
        <v>60601</v>
      </c>
      <c r="E20" s="421">
        <v>232</v>
      </c>
      <c r="F20" s="427">
        <f t="shared" si="0"/>
        <v>14059432</v>
      </c>
      <c r="G20" s="445">
        <v>640</v>
      </c>
      <c r="H20" s="29">
        <v>14242480</v>
      </c>
      <c r="I20" s="459">
        <v>232</v>
      </c>
      <c r="J20" s="29">
        <f t="shared" si="1"/>
        <v>61390</v>
      </c>
      <c r="K20" s="22">
        <f t="shared" si="2"/>
        <v>-789</v>
      </c>
      <c r="L20" s="561">
        <f t="shared" si="3"/>
        <v>101.30195871355258</v>
      </c>
      <c r="M20" s="550">
        <v>50601.497177906822</v>
      </c>
      <c r="N20" s="550">
        <f t="shared" si="4"/>
        <v>-9999.5028220931781</v>
      </c>
      <c r="O20" s="550">
        <f t="shared" si="5"/>
        <v>639.44537294955126</v>
      </c>
      <c r="P20" s="561">
        <f t="shared" si="6"/>
        <v>366.95117519999997</v>
      </c>
      <c r="Q20" s="561">
        <f t="shared" si="7"/>
        <v>244.63411679999999</v>
      </c>
      <c r="R20" s="561">
        <f>P20+'T5C_Drought_PLAN_vs_PRFM '!K20</f>
        <v>366.95117519999997</v>
      </c>
      <c r="S20" s="561">
        <f>Q20+'T5C_Drought_PLAN_vs_PRFM '!L20</f>
        <v>244.63411679999999</v>
      </c>
      <c r="T20" s="561">
        <f t="shared" si="8"/>
        <v>1.0130195871355259</v>
      </c>
      <c r="U20" s="22">
        <f t="shared" si="9"/>
        <v>588.21442400000001</v>
      </c>
      <c r="V20" s="561">
        <f t="shared" si="10"/>
        <v>352.92865439999997</v>
      </c>
      <c r="W20" s="464">
        <f t="shared" si="11"/>
        <v>235.28576960000004</v>
      </c>
      <c r="X20" s="464"/>
      <c r="Z20" s="464"/>
      <c r="AB20" s="464"/>
      <c r="AC20" s="541"/>
      <c r="AG20" s="480">
        <f t="shared" si="12"/>
        <v>1424.248</v>
      </c>
      <c r="AH20" s="509">
        <f t="shared" si="13"/>
        <v>14059432</v>
      </c>
      <c r="AI20" s="509">
        <f t="shared" si="14"/>
        <v>1405.9431999999999</v>
      </c>
    </row>
    <row r="21" spans="1:35" ht="14.25">
      <c r="A21" s="18">
        <v>10</v>
      </c>
      <c r="B21" s="385" t="s">
        <v>898</v>
      </c>
      <c r="C21" s="454">
        <v>786</v>
      </c>
      <c r="D21" s="454">
        <v>67454</v>
      </c>
      <c r="E21" s="421">
        <v>232</v>
      </c>
      <c r="F21" s="427">
        <f t="shared" si="0"/>
        <v>15649328</v>
      </c>
      <c r="G21" s="445">
        <v>787</v>
      </c>
      <c r="H21" s="29">
        <v>15507576</v>
      </c>
      <c r="I21" s="459">
        <v>232</v>
      </c>
      <c r="J21" s="29">
        <f t="shared" si="1"/>
        <v>66843</v>
      </c>
      <c r="K21" s="22">
        <f t="shared" si="2"/>
        <v>611</v>
      </c>
      <c r="L21" s="561">
        <f t="shared" si="3"/>
        <v>99.094197527203718</v>
      </c>
      <c r="M21" s="550">
        <v>76453.71427499027</v>
      </c>
      <c r="N21" s="550">
        <f t="shared" si="4"/>
        <v>8999.7142749902705</v>
      </c>
      <c r="O21" s="550">
        <f t="shared" si="5"/>
        <v>786.31798204890129</v>
      </c>
      <c r="P21" s="561">
        <f t="shared" si="6"/>
        <v>408.44746079999999</v>
      </c>
      <c r="Q21" s="561">
        <f t="shared" si="7"/>
        <v>272.29830720000001</v>
      </c>
      <c r="R21" s="561">
        <f>P21+'T5C_Drought_PLAN_vs_PRFM '!K21</f>
        <v>408.44746079999999</v>
      </c>
      <c r="S21" s="561">
        <f>Q21+'T5C_Drought_PLAN_vs_PRFM '!L21</f>
        <v>272.29830720000001</v>
      </c>
      <c r="T21" s="561">
        <f t="shared" si="8"/>
        <v>0.9909419752720372</v>
      </c>
      <c r="U21" s="22">
        <f t="shared" si="9"/>
        <v>640.46288879999997</v>
      </c>
      <c r="V21" s="561">
        <f t="shared" si="10"/>
        <v>384.27773327999995</v>
      </c>
      <c r="W21" s="464">
        <f t="shared" si="11"/>
        <v>256.18515552000002</v>
      </c>
      <c r="X21" s="464"/>
      <c r="Z21" s="464"/>
      <c r="AB21" s="464"/>
      <c r="AC21" s="541"/>
      <c r="AG21" s="480">
        <f t="shared" si="12"/>
        <v>1550.7575999999999</v>
      </c>
      <c r="AH21" s="509">
        <f t="shared" si="13"/>
        <v>15649328</v>
      </c>
      <c r="AI21" s="509">
        <f t="shared" si="14"/>
        <v>1564.9328</v>
      </c>
    </row>
    <row r="22" spans="1:35" ht="14.25">
      <c r="A22" s="18">
        <v>11</v>
      </c>
      <c r="B22" s="385" t="s">
        <v>899</v>
      </c>
      <c r="C22" s="454">
        <v>390</v>
      </c>
      <c r="D22" s="454">
        <v>83680</v>
      </c>
      <c r="E22" s="421">
        <v>232</v>
      </c>
      <c r="F22" s="427">
        <f t="shared" si="0"/>
        <v>19413760</v>
      </c>
      <c r="G22" s="445">
        <v>390</v>
      </c>
      <c r="H22" s="29">
        <v>20142936</v>
      </c>
      <c r="I22" s="459">
        <v>232</v>
      </c>
      <c r="J22" s="29">
        <f t="shared" si="1"/>
        <v>86823</v>
      </c>
      <c r="K22" s="22">
        <f t="shared" si="2"/>
        <v>-3143</v>
      </c>
      <c r="L22" s="561">
        <f t="shared" si="3"/>
        <v>103.75597514340345</v>
      </c>
      <c r="M22" s="550">
        <v>77680.121266337097</v>
      </c>
      <c r="N22" s="550">
        <f t="shared" si="4"/>
        <v>-5999.878733662903</v>
      </c>
      <c r="O22" s="550">
        <f t="shared" si="5"/>
        <v>389.6620241411328</v>
      </c>
      <c r="P22" s="561">
        <f t="shared" si="6"/>
        <v>506.69913599999995</v>
      </c>
      <c r="Q22" s="561">
        <f t="shared" si="7"/>
        <v>337.79942399999999</v>
      </c>
      <c r="R22" s="561">
        <f>P22+'T5C_Drought_PLAN_vs_PRFM '!K22</f>
        <v>527.03513599999997</v>
      </c>
      <c r="S22" s="561">
        <f>Q22+'T5C_Drought_PLAN_vs_PRFM '!L22</f>
        <v>351.32942399999996</v>
      </c>
      <c r="T22" s="561">
        <f t="shared" si="8"/>
        <v>1.0375597514340344</v>
      </c>
      <c r="U22" s="22">
        <f t="shared" si="9"/>
        <v>831.90325679999989</v>
      </c>
      <c r="V22" s="561">
        <f t="shared" si="10"/>
        <v>499.14195407999989</v>
      </c>
      <c r="W22" s="464">
        <f t="shared" si="11"/>
        <v>332.76130272</v>
      </c>
      <c r="X22" s="464"/>
      <c r="Z22" s="464"/>
      <c r="AB22" s="464"/>
      <c r="AC22" s="541"/>
      <c r="AG22" s="480">
        <f t="shared" si="12"/>
        <v>2014.2936</v>
      </c>
      <c r="AH22" s="509">
        <f t="shared" si="13"/>
        <v>19413760</v>
      </c>
      <c r="AI22" s="509">
        <f t="shared" si="14"/>
        <v>1941.376</v>
      </c>
    </row>
    <row r="23" spans="1:35" ht="14.25">
      <c r="A23" s="18">
        <v>12</v>
      </c>
      <c r="B23" s="385" t="s">
        <v>900</v>
      </c>
      <c r="C23" s="454">
        <v>705</v>
      </c>
      <c r="D23" s="454">
        <v>64871</v>
      </c>
      <c r="E23" s="421">
        <v>232</v>
      </c>
      <c r="F23" s="427">
        <f t="shared" si="0"/>
        <v>15050072</v>
      </c>
      <c r="G23" s="445">
        <v>706</v>
      </c>
      <c r="H23" s="29">
        <v>16536264</v>
      </c>
      <c r="I23" s="459">
        <v>232</v>
      </c>
      <c r="J23" s="29">
        <f t="shared" si="1"/>
        <v>71277</v>
      </c>
      <c r="K23" s="22">
        <f t="shared" si="2"/>
        <v>-6406</v>
      </c>
      <c r="L23" s="561">
        <f t="shared" si="3"/>
        <v>109.87498265789029</v>
      </c>
      <c r="M23" s="550">
        <v>61871.35736660938</v>
      </c>
      <c r="N23" s="550">
        <f t="shared" si="4"/>
        <v>-2999.6426333906202</v>
      </c>
      <c r="O23" s="550">
        <f t="shared" si="5"/>
        <v>705.38817703497375</v>
      </c>
      <c r="P23" s="561">
        <f t="shared" si="6"/>
        <v>392.80687920000003</v>
      </c>
      <c r="Q23" s="561">
        <f t="shared" si="7"/>
        <v>261.87125280000004</v>
      </c>
      <c r="R23" s="561">
        <f>P23+'T5C_Drought_PLAN_vs_PRFM '!K23</f>
        <v>392.80687920000003</v>
      </c>
      <c r="S23" s="561">
        <f>Q23+'T5C_Drought_PLAN_vs_PRFM '!L23</f>
        <v>261.87125280000004</v>
      </c>
      <c r="T23" s="561">
        <f t="shared" si="8"/>
        <v>1.0987498265789029</v>
      </c>
      <c r="U23" s="22">
        <f t="shared" si="9"/>
        <v>682.94770319999998</v>
      </c>
      <c r="V23" s="561">
        <f t="shared" si="10"/>
        <v>409.76862191999999</v>
      </c>
      <c r="W23" s="464">
        <f t="shared" si="11"/>
        <v>273.17908127999999</v>
      </c>
      <c r="X23" s="464"/>
      <c r="Z23" s="464"/>
      <c r="AB23" s="464"/>
      <c r="AC23" s="541"/>
      <c r="AG23" s="480">
        <f t="shared" si="12"/>
        <v>1653.6264000000001</v>
      </c>
      <c r="AH23" s="509">
        <f t="shared" si="13"/>
        <v>15050072</v>
      </c>
      <c r="AI23" s="509">
        <f t="shared" si="14"/>
        <v>1505.0072</v>
      </c>
    </row>
    <row r="24" spans="1:35" ht="14.25">
      <c r="A24" s="18">
        <v>13</v>
      </c>
      <c r="B24" s="385" t="s">
        <v>901</v>
      </c>
      <c r="C24" s="454">
        <v>571</v>
      </c>
      <c r="D24" s="454">
        <v>63193</v>
      </c>
      <c r="E24" s="421">
        <v>232</v>
      </c>
      <c r="F24" s="427">
        <f t="shared" si="0"/>
        <v>14660776</v>
      </c>
      <c r="G24" s="445">
        <v>571</v>
      </c>
      <c r="H24" s="29">
        <v>14580040</v>
      </c>
      <c r="I24" s="459">
        <v>232</v>
      </c>
      <c r="J24" s="29">
        <f t="shared" si="1"/>
        <v>62845</v>
      </c>
      <c r="K24" s="22">
        <f t="shared" si="2"/>
        <v>348</v>
      </c>
      <c r="L24" s="561">
        <f t="shared" si="3"/>
        <v>99.449306094029396</v>
      </c>
      <c r="M24" s="550">
        <v>71193.340485659646</v>
      </c>
      <c r="N24" s="550">
        <f t="shared" si="4"/>
        <v>8000.3404856596462</v>
      </c>
      <c r="O24" s="550">
        <f t="shared" si="5"/>
        <v>570.50516867842771</v>
      </c>
      <c r="P24" s="561">
        <f t="shared" si="6"/>
        <v>382.64625359999997</v>
      </c>
      <c r="Q24" s="561">
        <f t="shared" si="7"/>
        <v>255.0975024</v>
      </c>
      <c r="R24" s="561">
        <f>P24+'T5C_Drought_PLAN_vs_PRFM '!K24</f>
        <v>382.64625359999997</v>
      </c>
      <c r="S24" s="561">
        <f>Q24+'T5C_Drought_PLAN_vs_PRFM '!L24</f>
        <v>255.0975024</v>
      </c>
      <c r="T24" s="561">
        <f t="shared" si="8"/>
        <v>0.99449306094029399</v>
      </c>
      <c r="U24" s="22">
        <f t="shared" si="9"/>
        <v>602.15565199999992</v>
      </c>
      <c r="V24" s="561">
        <f t="shared" si="10"/>
        <v>361.29339119999992</v>
      </c>
      <c r="W24" s="464">
        <f t="shared" si="11"/>
        <v>240.8622608</v>
      </c>
      <c r="X24" s="464"/>
      <c r="Z24" s="464"/>
      <c r="AB24" s="464"/>
      <c r="AC24" s="541"/>
      <c r="AG24" s="480">
        <f t="shared" si="12"/>
        <v>1458.0039999999999</v>
      </c>
      <c r="AH24" s="509">
        <f t="shared" si="13"/>
        <v>14660776</v>
      </c>
      <c r="AI24" s="509">
        <f t="shared" si="14"/>
        <v>1466.0776000000001</v>
      </c>
    </row>
    <row r="25" spans="1:35" ht="14.25">
      <c r="A25" s="18">
        <v>14</v>
      </c>
      <c r="B25" s="385" t="s">
        <v>902</v>
      </c>
      <c r="C25" s="454">
        <v>1429</v>
      </c>
      <c r="D25" s="454">
        <v>109245</v>
      </c>
      <c r="E25" s="421">
        <v>232</v>
      </c>
      <c r="F25" s="427">
        <f t="shared" si="0"/>
        <v>25344840</v>
      </c>
      <c r="G25" s="445">
        <v>1430</v>
      </c>
      <c r="H25" s="29">
        <v>25571040</v>
      </c>
      <c r="I25" s="459">
        <v>232</v>
      </c>
      <c r="J25" s="29">
        <f t="shared" si="1"/>
        <v>110220</v>
      </c>
      <c r="K25" s="22">
        <f t="shared" si="2"/>
        <v>-975</v>
      </c>
      <c r="L25" s="561">
        <f t="shared" si="3"/>
        <v>100.89248935878072</v>
      </c>
      <c r="M25" s="550">
        <v>100244.71992230447</v>
      </c>
      <c r="N25" s="550">
        <f t="shared" si="4"/>
        <v>-9000.2800776955264</v>
      </c>
      <c r="O25" s="550">
        <f t="shared" si="5"/>
        <v>1428.7607551841536</v>
      </c>
      <c r="P25" s="561">
        <f t="shared" si="6"/>
        <v>661.50032399999998</v>
      </c>
      <c r="Q25" s="561">
        <f t="shared" si="7"/>
        <v>441.00021600000002</v>
      </c>
      <c r="R25" s="561">
        <f>P25+'T5C_Drought_PLAN_vs_PRFM '!K25</f>
        <v>672.01552400000003</v>
      </c>
      <c r="S25" s="561">
        <f>Q25+'T5C_Drought_PLAN_vs_PRFM '!L25</f>
        <v>447.996216</v>
      </c>
      <c r="T25" s="561">
        <f t="shared" si="8"/>
        <v>1.0089248935878072</v>
      </c>
      <c r="U25" s="22">
        <f t="shared" si="9"/>
        <v>1056.083952</v>
      </c>
      <c r="V25" s="561">
        <f t="shared" si="10"/>
        <v>633.6503712</v>
      </c>
      <c r="W25" s="464">
        <f t="shared" si="11"/>
        <v>422.43358079999996</v>
      </c>
      <c r="X25" s="464"/>
      <c r="Z25" s="464"/>
      <c r="AB25" s="464"/>
      <c r="AC25" s="541"/>
      <c r="AG25" s="480">
        <f t="shared" si="12"/>
        <v>2557.1039999999998</v>
      </c>
      <c r="AH25" s="509">
        <f t="shared" si="13"/>
        <v>25344840</v>
      </c>
      <c r="AI25" s="509">
        <f t="shared" si="14"/>
        <v>2534.4839999999999</v>
      </c>
    </row>
    <row r="26" spans="1:35" s="422" customFormat="1" ht="14.25">
      <c r="A26" s="421">
        <v>15</v>
      </c>
      <c r="B26" s="385" t="s">
        <v>903</v>
      </c>
      <c r="C26" s="454">
        <v>879</v>
      </c>
      <c r="D26" s="454">
        <v>64590</v>
      </c>
      <c r="E26" s="421">
        <v>232</v>
      </c>
      <c r="F26" s="427">
        <f t="shared" si="0"/>
        <v>14984880</v>
      </c>
      <c r="G26" s="445">
        <v>880</v>
      </c>
      <c r="H26" s="29">
        <v>15525672</v>
      </c>
      <c r="I26" s="459">
        <v>232</v>
      </c>
      <c r="J26" s="29">
        <f t="shared" si="1"/>
        <v>66921</v>
      </c>
      <c r="K26" s="22">
        <f t="shared" si="2"/>
        <v>-2331</v>
      </c>
      <c r="L26" s="561">
        <f t="shared" si="3"/>
        <v>103.60891778913144</v>
      </c>
      <c r="M26" s="550">
        <v>64589.53965396712</v>
      </c>
      <c r="N26" s="550">
        <f t="shared" si="4"/>
        <v>-0.46034603287989739</v>
      </c>
      <c r="O26" s="550">
        <f t="shared" si="5"/>
        <v>879.23738780563303</v>
      </c>
      <c r="P26" s="561">
        <f t="shared" si="6"/>
        <v>391.105368</v>
      </c>
      <c r="Q26" s="561">
        <f t="shared" si="7"/>
        <v>260.73691200000002</v>
      </c>
      <c r="R26" s="561">
        <f>P26+'T5C_Drought_PLAN_vs_PRFM '!K26</f>
        <v>393.58536800000002</v>
      </c>
      <c r="S26" s="561">
        <f>Q26+'T5C_Drought_PLAN_vs_PRFM '!L26</f>
        <v>262.386912</v>
      </c>
      <c r="T26" s="561">
        <f t="shared" si="8"/>
        <v>1.0360891778913144</v>
      </c>
      <c r="U26" s="22">
        <f t="shared" si="9"/>
        <v>641.21025359999999</v>
      </c>
      <c r="V26" s="561">
        <f t="shared" si="10"/>
        <v>384.72615215999997</v>
      </c>
      <c r="W26" s="464">
        <f t="shared" si="11"/>
        <v>256.48410144000002</v>
      </c>
      <c r="X26" s="464"/>
      <c r="Z26" s="464"/>
      <c r="AA26" s="509"/>
      <c r="AB26" s="464"/>
      <c r="AC26" s="541"/>
      <c r="AD26" s="541"/>
      <c r="AE26" s="541"/>
      <c r="AG26" s="480">
        <f t="shared" si="12"/>
        <v>1552.5672</v>
      </c>
      <c r="AH26" s="509">
        <f t="shared" si="13"/>
        <v>14984880</v>
      </c>
      <c r="AI26" s="509">
        <f t="shared" si="14"/>
        <v>1498.4880000000001</v>
      </c>
    </row>
    <row r="27" spans="1:35" s="422" customFormat="1" ht="14.25">
      <c r="A27" s="421">
        <v>16</v>
      </c>
      <c r="B27" s="385" t="s">
        <v>904</v>
      </c>
      <c r="C27" s="454">
        <v>327</v>
      </c>
      <c r="D27" s="454">
        <v>62792</v>
      </c>
      <c r="E27" s="421">
        <v>232</v>
      </c>
      <c r="F27" s="427">
        <f t="shared" si="0"/>
        <v>14567744</v>
      </c>
      <c r="G27" s="445">
        <v>327</v>
      </c>
      <c r="H27" s="29">
        <v>14972816</v>
      </c>
      <c r="I27" s="459">
        <v>232</v>
      </c>
      <c r="J27" s="29">
        <f t="shared" si="1"/>
        <v>64538</v>
      </c>
      <c r="K27" s="22">
        <f t="shared" si="2"/>
        <v>-1746</v>
      </c>
      <c r="L27" s="561">
        <f t="shared" si="3"/>
        <v>102.78060899477641</v>
      </c>
      <c r="M27" s="550">
        <v>58791.979331236638</v>
      </c>
      <c r="N27" s="550">
        <f t="shared" si="4"/>
        <v>-4000.0206687633618</v>
      </c>
      <c r="O27" s="550">
        <f t="shared" si="5"/>
        <v>326.71662024141136</v>
      </c>
      <c r="P27" s="561">
        <f t="shared" si="6"/>
        <v>380.21811839999998</v>
      </c>
      <c r="Q27" s="561">
        <f t="shared" si="7"/>
        <v>253.4787456</v>
      </c>
      <c r="R27" s="561">
        <f>P27+'T5C_Drought_PLAN_vs_PRFM '!K27</f>
        <v>394.4037184</v>
      </c>
      <c r="S27" s="561">
        <f>Q27+'T5C_Drought_PLAN_vs_PRFM '!L27</f>
        <v>262.91674560000001</v>
      </c>
      <c r="T27" s="561">
        <f t="shared" si="8"/>
        <v>1.0278060899477641</v>
      </c>
      <c r="U27" s="22">
        <f t="shared" si="9"/>
        <v>618.37730079999994</v>
      </c>
      <c r="V27" s="561">
        <f t="shared" si="10"/>
        <v>371.02638047999994</v>
      </c>
      <c r="W27" s="464">
        <f t="shared" si="11"/>
        <v>247.35092032</v>
      </c>
      <c r="X27" s="464"/>
      <c r="Z27" s="464"/>
      <c r="AA27" s="509"/>
      <c r="AB27" s="464"/>
      <c r="AC27" s="541"/>
      <c r="AD27" s="541"/>
      <c r="AE27" s="541"/>
      <c r="AG27" s="480">
        <f t="shared" si="12"/>
        <v>1497.2816</v>
      </c>
      <c r="AH27" s="509">
        <f t="shared" si="13"/>
        <v>14567744</v>
      </c>
      <c r="AI27" s="509">
        <f t="shared" si="14"/>
        <v>1456.7744</v>
      </c>
    </row>
    <row r="28" spans="1:35" s="422" customFormat="1" ht="14.25">
      <c r="A28" s="421">
        <v>17</v>
      </c>
      <c r="B28" s="385" t="s">
        <v>905</v>
      </c>
      <c r="C28" s="454">
        <v>1483</v>
      </c>
      <c r="D28" s="454">
        <v>150258</v>
      </c>
      <c r="E28" s="421">
        <v>232</v>
      </c>
      <c r="F28" s="427">
        <f t="shared" si="0"/>
        <v>34859856</v>
      </c>
      <c r="G28" s="445">
        <v>1484</v>
      </c>
      <c r="H28" s="29">
        <v>34621360</v>
      </c>
      <c r="I28" s="459">
        <v>232</v>
      </c>
      <c r="J28" s="29">
        <f t="shared" si="1"/>
        <v>149230</v>
      </c>
      <c r="K28" s="22">
        <f t="shared" si="2"/>
        <v>1028</v>
      </c>
      <c r="L28" s="561">
        <f t="shared" si="3"/>
        <v>99.315843415991168</v>
      </c>
      <c r="M28" s="550">
        <v>153257.56728530119</v>
      </c>
      <c r="N28" s="550">
        <f t="shared" si="4"/>
        <v>2999.5672853011929</v>
      </c>
      <c r="O28" s="550">
        <f t="shared" si="5"/>
        <v>1482.7139585267719</v>
      </c>
      <c r="P28" s="561">
        <f t="shared" si="6"/>
        <v>909.84224159999997</v>
      </c>
      <c r="Q28" s="561">
        <f t="shared" si="7"/>
        <v>606.56149440000002</v>
      </c>
      <c r="R28" s="561">
        <f>P28+'T5C_Drought_PLAN_vs_PRFM '!K28</f>
        <v>942.67744159999995</v>
      </c>
      <c r="S28" s="561">
        <f>Q28+'T5C_Drought_PLAN_vs_PRFM '!L28</f>
        <v>628.40749440000002</v>
      </c>
      <c r="T28" s="561">
        <f t="shared" si="8"/>
        <v>0.99315843415991167</v>
      </c>
      <c r="U28" s="22">
        <f t="shared" si="9"/>
        <v>1429.8621679999999</v>
      </c>
      <c r="V28" s="561">
        <f t="shared" si="10"/>
        <v>857.91730079999991</v>
      </c>
      <c r="W28" s="464">
        <f t="shared" si="11"/>
        <v>571.94486719999998</v>
      </c>
      <c r="X28" s="464"/>
      <c r="Z28" s="464"/>
      <c r="AA28" s="509"/>
      <c r="AB28" s="464"/>
      <c r="AC28" s="541"/>
      <c r="AD28" s="541"/>
      <c r="AE28" s="541"/>
      <c r="AG28" s="480">
        <f t="shared" si="12"/>
        <v>3462.136</v>
      </c>
      <c r="AH28" s="509">
        <f t="shared" si="13"/>
        <v>34859856</v>
      </c>
      <c r="AI28" s="509">
        <f t="shared" si="14"/>
        <v>3485.9856</v>
      </c>
    </row>
    <row r="29" spans="1:35" s="422" customFormat="1" ht="14.25">
      <c r="A29" s="421">
        <v>18</v>
      </c>
      <c r="B29" s="385" t="s">
        <v>906</v>
      </c>
      <c r="C29" s="454">
        <v>807</v>
      </c>
      <c r="D29" s="454">
        <v>58620</v>
      </c>
      <c r="E29" s="421">
        <v>232</v>
      </c>
      <c r="F29" s="427">
        <f t="shared" si="0"/>
        <v>13599840</v>
      </c>
      <c r="G29" s="445">
        <v>808</v>
      </c>
      <c r="H29" s="29">
        <v>13661552</v>
      </c>
      <c r="I29" s="459">
        <v>232</v>
      </c>
      <c r="J29" s="29">
        <f t="shared" si="1"/>
        <v>58886</v>
      </c>
      <c r="K29" s="22">
        <f t="shared" si="2"/>
        <v>-266</v>
      </c>
      <c r="L29" s="561">
        <f t="shared" si="3"/>
        <v>100.45377004435345</v>
      </c>
      <c r="M29" s="550">
        <v>50619.925532397385</v>
      </c>
      <c r="N29" s="550">
        <f t="shared" si="4"/>
        <v>-8000.0744676026152</v>
      </c>
      <c r="O29" s="550">
        <f t="shared" si="5"/>
        <v>807.29978334880843</v>
      </c>
      <c r="P29" s="561">
        <f t="shared" si="6"/>
        <v>354.95582400000001</v>
      </c>
      <c r="Q29" s="561">
        <f t="shared" si="7"/>
        <v>236.63721600000002</v>
      </c>
      <c r="R29" s="561">
        <f>P29+'T5C_Drought_PLAN_vs_PRFM '!K29</f>
        <v>422.11422400000004</v>
      </c>
      <c r="S29" s="561">
        <f>Q29+'T5C_Drought_PLAN_vs_PRFM '!L29</f>
        <v>281.31921600000004</v>
      </c>
      <c r="T29" s="561">
        <f t="shared" si="8"/>
        <v>1.0045377004435345</v>
      </c>
      <c r="U29" s="22">
        <f t="shared" si="9"/>
        <v>564.22209759999998</v>
      </c>
      <c r="V29" s="561">
        <f t="shared" si="10"/>
        <v>338.53325855999998</v>
      </c>
      <c r="W29" s="464">
        <f t="shared" si="11"/>
        <v>225.68883904</v>
      </c>
      <c r="X29" s="464"/>
      <c r="Z29" s="464"/>
      <c r="AA29" s="509"/>
      <c r="AB29" s="464"/>
      <c r="AC29" s="541"/>
      <c r="AD29" s="541"/>
      <c r="AE29" s="541"/>
      <c r="AG29" s="480">
        <f t="shared" si="12"/>
        <v>1366.1551999999999</v>
      </c>
      <c r="AH29" s="509">
        <f t="shared" si="13"/>
        <v>13599840</v>
      </c>
      <c r="AI29" s="509">
        <f t="shared" si="14"/>
        <v>1359.9839999999999</v>
      </c>
    </row>
    <row r="30" spans="1:35" s="422" customFormat="1" ht="14.25">
      <c r="A30" s="421">
        <v>19</v>
      </c>
      <c r="B30" s="385" t="s">
        <v>907</v>
      </c>
      <c r="C30" s="454">
        <v>985</v>
      </c>
      <c r="D30" s="454">
        <v>91165</v>
      </c>
      <c r="E30" s="421">
        <v>232</v>
      </c>
      <c r="F30" s="427">
        <f t="shared" si="0"/>
        <v>21150280</v>
      </c>
      <c r="G30" s="445">
        <v>986</v>
      </c>
      <c r="H30" s="29">
        <v>20933592</v>
      </c>
      <c r="I30" s="459">
        <v>232</v>
      </c>
      <c r="J30" s="29">
        <f t="shared" si="1"/>
        <v>90231</v>
      </c>
      <c r="K30" s="22">
        <f t="shared" si="2"/>
        <v>934</v>
      </c>
      <c r="L30" s="561">
        <f t="shared" si="3"/>
        <v>98.975484012504793</v>
      </c>
      <c r="M30" s="550">
        <v>100165.47799799505</v>
      </c>
      <c r="N30" s="550">
        <f t="shared" si="4"/>
        <v>9000.4779979950545</v>
      </c>
      <c r="O30" s="550">
        <f t="shared" si="5"/>
        <v>985.14552770040245</v>
      </c>
      <c r="P30" s="561">
        <f t="shared" si="6"/>
        <v>552.02230799999995</v>
      </c>
      <c r="Q30" s="561">
        <f t="shared" si="7"/>
        <v>368.01487200000003</v>
      </c>
      <c r="R30" s="561">
        <f>P30+'T5C_Drought_PLAN_vs_PRFM '!K30</f>
        <v>552.02230799999995</v>
      </c>
      <c r="S30" s="561">
        <f>Q30+'T5C_Drought_PLAN_vs_PRFM '!L30</f>
        <v>368.01487200000003</v>
      </c>
      <c r="T30" s="561">
        <f t="shared" si="8"/>
        <v>0.989754840125048</v>
      </c>
      <c r="U30" s="22">
        <f t="shared" si="9"/>
        <v>864.55734959999995</v>
      </c>
      <c r="V30" s="561">
        <f t="shared" si="10"/>
        <v>518.73440975999995</v>
      </c>
      <c r="W30" s="464">
        <f t="shared" si="11"/>
        <v>345.82293984</v>
      </c>
      <c r="X30" s="464"/>
      <c r="Z30" s="464"/>
      <c r="AA30" s="509"/>
      <c r="AB30" s="464"/>
      <c r="AC30" s="541"/>
      <c r="AD30" s="541"/>
      <c r="AE30" s="541"/>
      <c r="AG30" s="480">
        <f t="shared" si="12"/>
        <v>2093.3591999999999</v>
      </c>
      <c r="AH30" s="509">
        <f t="shared" si="13"/>
        <v>21150280</v>
      </c>
      <c r="AI30" s="509">
        <f t="shared" si="14"/>
        <v>2115.0279999999998</v>
      </c>
    </row>
    <row r="31" spans="1:35" s="422" customFormat="1" ht="14.25">
      <c r="A31" s="421">
        <v>20</v>
      </c>
      <c r="B31" s="385" t="s">
        <v>908</v>
      </c>
      <c r="C31" s="454">
        <v>817</v>
      </c>
      <c r="D31" s="454">
        <v>75978</v>
      </c>
      <c r="E31" s="421">
        <v>232</v>
      </c>
      <c r="F31" s="427">
        <f t="shared" si="0"/>
        <v>17626896</v>
      </c>
      <c r="G31" s="445">
        <v>818</v>
      </c>
      <c r="H31" s="29">
        <v>17554048</v>
      </c>
      <c r="I31" s="459">
        <v>232</v>
      </c>
      <c r="J31" s="29">
        <f t="shared" si="1"/>
        <v>75664</v>
      </c>
      <c r="K31" s="22">
        <f t="shared" si="2"/>
        <v>314</v>
      </c>
      <c r="L31" s="561">
        <f t="shared" si="3"/>
        <v>99.58672247229461</v>
      </c>
      <c r="M31" s="550">
        <v>76978.000960246733</v>
      </c>
      <c r="N31" s="550">
        <f t="shared" si="4"/>
        <v>1000.0009602467326</v>
      </c>
      <c r="O31" s="550">
        <f t="shared" si="5"/>
        <v>817.29111730114516</v>
      </c>
      <c r="P31" s="561">
        <f t="shared" si="6"/>
        <v>460.06198559999996</v>
      </c>
      <c r="Q31" s="561">
        <f t="shared" si="7"/>
        <v>306.70799039999997</v>
      </c>
      <c r="R31" s="561">
        <f>P31+'T5C_Drought_PLAN_vs_PRFM '!K31</f>
        <v>460.06198559999996</v>
      </c>
      <c r="S31" s="561">
        <f>Q31+'T5C_Drought_PLAN_vs_PRFM '!L31</f>
        <v>306.70799039999997</v>
      </c>
      <c r="T31" s="561">
        <f t="shared" si="8"/>
        <v>0.99586722472294609</v>
      </c>
      <c r="U31" s="22">
        <f t="shared" si="9"/>
        <v>724.98218239999994</v>
      </c>
      <c r="V31" s="561">
        <f t="shared" si="10"/>
        <v>434.98930943999994</v>
      </c>
      <c r="W31" s="464">
        <f t="shared" si="11"/>
        <v>289.99287296</v>
      </c>
      <c r="X31" s="464"/>
      <c r="Z31" s="464"/>
      <c r="AA31" s="509"/>
      <c r="AB31" s="464"/>
      <c r="AC31" s="541"/>
      <c r="AD31" s="541"/>
      <c r="AE31" s="541"/>
      <c r="AG31" s="480">
        <f t="shared" si="12"/>
        <v>1755.4048</v>
      </c>
      <c r="AH31" s="509">
        <f t="shared" si="13"/>
        <v>17626896</v>
      </c>
      <c r="AI31" s="509">
        <f t="shared" si="14"/>
        <v>1762.6895999999999</v>
      </c>
    </row>
    <row r="32" spans="1:35" s="422" customFormat="1" ht="14.25">
      <c r="A32" s="421">
        <v>21</v>
      </c>
      <c r="B32" s="385" t="s">
        <v>909</v>
      </c>
      <c r="C32" s="454">
        <v>505</v>
      </c>
      <c r="D32" s="454">
        <v>49840</v>
      </c>
      <c r="E32" s="421">
        <v>232</v>
      </c>
      <c r="F32" s="427">
        <f t="shared" si="0"/>
        <v>11562880</v>
      </c>
      <c r="G32" s="445">
        <v>505</v>
      </c>
      <c r="H32" s="29">
        <v>11770752</v>
      </c>
      <c r="I32" s="459">
        <v>232</v>
      </c>
      <c r="J32" s="29">
        <f t="shared" si="1"/>
        <v>50736</v>
      </c>
      <c r="K32" s="22">
        <f t="shared" si="2"/>
        <v>-896</v>
      </c>
      <c r="L32" s="561">
        <f t="shared" si="3"/>
        <v>101.79775280898878</v>
      </c>
      <c r="M32" s="550">
        <v>45839.610377545869</v>
      </c>
      <c r="N32" s="550">
        <f t="shared" si="4"/>
        <v>-4000.3896224541313</v>
      </c>
      <c r="O32" s="550">
        <f t="shared" si="5"/>
        <v>504.56236459300527</v>
      </c>
      <c r="P32" s="561">
        <f t="shared" si="6"/>
        <v>301.79116799999997</v>
      </c>
      <c r="Q32" s="561">
        <f t="shared" si="7"/>
        <v>201.19411199999999</v>
      </c>
      <c r="R32" s="561">
        <f>P32+'T5C_Drought_PLAN_vs_PRFM '!K32</f>
        <v>314.88556799999998</v>
      </c>
      <c r="S32" s="561">
        <f>Q32+'T5C_Drought_PLAN_vs_PRFM '!L32</f>
        <v>209.90611199999998</v>
      </c>
      <c r="T32" s="561">
        <f t="shared" si="8"/>
        <v>1.0179775280898877</v>
      </c>
      <c r="U32" s="22">
        <f t="shared" si="9"/>
        <v>486.1320576</v>
      </c>
      <c r="V32" s="561">
        <f t="shared" si="10"/>
        <v>291.67923456</v>
      </c>
      <c r="W32" s="464">
        <f t="shared" si="11"/>
        <v>194.45282304</v>
      </c>
      <c r="X32" s="464"/>
      <c r="Z32" s="464"/>
      <c r="AA32" s="509"/>
      <c r="AB32" s="464"/>
      <c r="AC32" s="541"/>
      <c r="AD32" s="541"/>
      <c r="AE32" s="541"/>
      <c r="AG32" s="480">
        <f t="shared" si="12"/>
        <v>1177.0752</v>
      </c>
      <c r="AH32" s="509">
        <f t="shared" si="13"/>
        <v>11562880</v>
      </c>
      <c r="AI32" s="509">
        <f t="shared" si="14"/>
        <v>1156.288</v>
      </c>
    </row>
    <row r="33" spans="1:36" s="422" customFormat="1" ht="14.25">
      <c r="A33" s="421">
        <v>22</v>
      </c>
      <c r="B33" s="385" t="s">
        <v>910</v>
      </c>
      <c r="C33" s="454">
        <v>2007</v>
      </c>
      <c r="D33" s="454">
        <v>145436</v>
      </c>
      <c r="E33" s="421">
        <v>232</v>
      </c>
      <c r="F33" s="427">
        <f t="shared" si="0"/>
        <v>33741152</v>
      </c>
      <c r="G33" s="445">
        <v>2009</v>
      </c>
      <c r="H33" s="29">
        <v>33516576</v>
      </c>
      <c r="I33" s="459">
        <v>232</v>
      </c>
      <c r="J33" s="29">
        <f t="shared" si="1"/>
        <v>144468</v>
      </c>
      <c r="K33" s="22">
        <f t="shared" si="2"/>
        <v>968</v>
      </c>
      <c r="L33" s="561">
        <f t="shared" si="3"/>
        <v>99.334415137930094</v>
      </c>
      <c r="M33" s="550">
        <v>152435.66267502218</v>
      </c>
      <c r="N33" s="550">
        <f t="shared" si="4"/>
        <v>6999.6626750221767</v>
      </c>
      <c r="O33" s="550">
        <f t="shared" si="5"/>
        <v>2007.2589910244508</v>
      </c>
      <c r="P33" s="561">
        <f t="shared" si="6"/>
        <v>880.64406719999999</v>
      </c>
      <c r="Q33" s="561">
        <f t="shared" si="7"/>
        <v>587.09604479999996</v>
      </c>
      <c r="R33" s="561">
        <f>P33+'T5C_Drought_PLAN_vs_PRFM '!K33</f>
        <v>917.94326720000004</v>
      </c>
      <c r="S33" s="561">
        <f>Q33+'T5C_Drought_PLAN_vs_PRFM '!L33</f>
        <v>611.91204479999999</v>
      </c>
      <c r="T33" s="561">
        <f t="shared" si="8"/>
        <v>0.99334415137930088</v>
      </c>
      <c r="U33" s="22">
        <f t="shared" si="9"/>
        <v>1384.2345888</v>
      </c>
      <c r="V33" s="561">
        <f t="shared" si="10"/>
        <v>830.54075327999999</v>
      </c>
      <c r="W33" s="464">
        <f t="shared" si="11"/>
        <v>553.69383551999999</v>
      </c>
      <c r="X33" s="464"/>
      <c r="Z33" s="464"/>
      <c r="AA33" s="509"/>
      <c r="AB33" s="464"/>
      <c r="AC33" s="541"/>
      <c r="AD33" s="541"/>
      <c r="AE33" s="541"/>
      <c r="AG33" s="480">
        <f t="shared" si="12"/>
        <v>3351.6576</v>
      </c>
      <c r="AH33" s="509">
        <f t="shared" si="13"/>
        <v>33741152</v>
      </c>
      <c r="AI33" s="509">
        <f t="shared" si="14"/>
        <v>3374.1152000000002</v>
      </c>
    </row>
    <row r="34" spans="1:36" s="422" customFormat="1" ht="14.25">
      <c r="A34" s="421">
        <v>23</v>
      </c>
      <c r="B34" s="385" t="s">
        <v>911</v>
      </c>
      <c r="C34" s="454">
        <v>714</v>
      </c>
      <c r="D34" s="454">
        <v>55353</v>
      </c>
      <c r="E34" s="421">
        <v>232</v>
      </c>
      <c r="F34" s="427">
        <f t="shared" si="0"/>
        <v>12841896</v>
      </c>
      <c r="G34" s="445">
        <v>715</v>
      </c>
      <c r="H34" s="29">
        <v>12764176</v>
      </c>
      <c r="I34" s="459">
        <v>232</v>
      </c>
      <c r="J34" s="29">
        <f t="shared" si="1"/>
        <v>55018</v>
      </c>
      <c r="K34" s="22">
        <f t="shared" si="2"/>
        <v>335</v>
      </c>
      <c r="L34" s="561">
        <f t="shared" si="3"/>
        <v>99.39479341679764</v>
      </c>
      <c r="M34" s="550">
        <v>65353.394947600871</v>
      </c>
      <c r="N34" s="550">
        <f t="shared" si="4"/>
        <v>10000.394947600871</v>
      </c>
      <c r="O34" s="550">
        <f t="shared" si="5"/>
        <v>714.3803775920768</v>
      </c>
      <c r="P34" s="561">
        <f t="shared" si="6"/>
        <v>335.17348559999999</v>
      </c>
      <c r="Q34" s="561">
        <f t="shared" si="7"/>
        <v>223.44899039999999</v>
      </c>
      <c r="R34" s="561">
        <f>P34+'T5C_Drought_PLAN_vs_PRFM '!K34</f>
        <v>335.17348559999999</v>
      </c>
      <c r="S34" s="561">
        <f>Q34+'T5C_Drought_PLAN_vs_PRFM '!L34</f>
        <v>223.44899039999999</v>
      </c>
      <c r="T34" s="561">
        <f t="shared" si="8"/>
        <v>0.99394793416797644</v>
      </c>
      <c r="U34" s="22">
        <f t="shared" si="9"/>
        <v>527.16046879999999</v>
      </c>
      <c r="V34" s="561">
        <f t="shared" si="10"/>
        <v>316.29628127999996</v>
      </c>
      <c r="W34" s="464">
        <f t="shared" si="11"/>
        <v>210.86418752000003</v>
      </c>
      <c r="X34" s="464"/>
      <c r="Z34" s="464"/>
      <c r="AA34" s="509"/>
      <c r="AB34" s="464"/>
      <c r="AC34" s="541"/>
      <c r="AD34" s="541"/>
      <c r="AE34" s="541"/>
      <c r="AG34" s="480">
        <f t="shared" si="12"/>
        <v>1276.4176</v>
      </c>
      <c r="AH34" s="509">
        <f t="shared" si="13"/>
        <v>12841896</v>
      </c>
      <c r="AI34" s="509">
        <f t="shared" si="14"/>
        <v>1284.1895999999999</v>
      </c>
    </row>
    <row r="35" spans="1:36" s="422" customFormat="1" ht="14.25">
      <c r="A35" s="421">
        <v>24</v>
      </c>
      <c r="B35" s="385" t="s">
        <v>912</v>
      </c>
      <c r="C35" s="454">
        <v>428</v>
      </c>
      <c r="D35" s="454">
        <v>41741</v>
      </c>
      <c r="E35" s="421">
        <v>232</v>
      </c>
      <c r="F35" s="427">
        <f t="shared" si="0"/>
        <v>9683912</v>
      </c>
      <c r="G35" s="445">
        <v>428</v>
      </c>
      <c r="H35" s="29">
        <v>10610752</v>
      </c>
      <c r="I35" s="459">
        <v>232</v>
      </c>
      <c r="J35" s="29">
        <f t="shared" si="1"/>
        <v>45736</v>
      </c>
      <c r="K35" s="22">
        <f t="shared" si="2"/>
        <v>-3995</v>
      </c>
      <c r="L35" s="561">
        <f t="shared" si="3"/>
        <v>109.57092546896337</v>
      </c>
      <c r="M35" s="550">
        <v>41741.144338845108</v>
      </c>
      <c r="N35" s="550">
        <f t="shared" si="4"/>
        <v>0.14433884510799544</v>
      </c>
      <c r="O35" s="550">
        <f t="shared" si="5"/>
        <v>427.62909316001242</v>
      </c>
      <c r="P35" s="561">
        <f t="shared" si="6"/>
        <v>252.75010320000001</v>
      </c>
      <c r="Q35" s="561">
        <f t="shared" si="7"/>
        <v>168.50006879999998</v>
      </c>
      <c r="R35" s="561">
        <f>P35+'T5C_Drought_PLAN_vs_PRFM '!K35</f>
        <v>252.75010320000001</v>
      </c>
      <c r="S35" s="561">
        <f>Q35+'T5C_Drought_PLAN_vs_PRFM '!L35</f>
        <v>168.50006879999998</v>
      </c>
      <c r="T35" s="561">
        <f t="shared" si="8"/>
        <v>1.0957092546896336</v>
      </c>
      <c r="U35" s="22">
        <f t="shared" si="9"/>
        <v>438.22405759999998</v>
      </c>
      <c r="V35" s="561">
        <f t="shared" si="10"/>
        <v>262.93443456</v>
      </c>
      <c r="W35" s="464">
        <f t="shared" si="11"/>
        <v>175.28962303999998</v>
      </c>
      <c r="X35" s="464"/>
      <c r="Z35" s="464"/>
      <c r="AA35" s="509"/>
      <c r="AB35" s="464"/>
      <c r="AC35" s="541"/>
      <c r="AD35" s="541"/>
      <c r="AE35" s="541"/>
      <c r="AG35" s="480">
        <f t="shared" si="12"/>
        <v>1061.0752</v>
      </c>
      <c r="AH35" s="509">
        <f t="shared" si="13"/>
        <v>9683912</v>
      </c>
      <c r="AI35" s="509">
        <f t="shared" si="14"/>
        <v>968.39120000000003</v>
      </c>
    </row>
    <row r="36" spans="1:36" s="422" customFormat="1" ht="14.25">
      <c r="A36" s="421">
        <v>25</v>
      </c>
      <c r="B36" s="385" t="s">
        <v>913</v>
      </c>
      <c r="C36" s="454">
        <v>1408</v>
      </c>
      <c r="D36" s="454">
        <v>112144</v>
      </c>
      <c r="E36" s="421">
        <v>232</v>
      </c>
      <c r="F36" s="427">
        <f t="shared" si="0"/>
        <v>26017408</v>
      </c>
      <c r="G36" s="445">
        <v>1409</v>
      </c>
      <c r="H36" s="29">
        <v>26720368</v>
      </c>
      <c r="I36" s="459">
        <v>232</v>
      </c>
      <c r="J36" s="29">
        <f t="shared" si="1"/>
        <v>115174</v>
      </c>
      <c r="K36" s="22">
        <f t="shared" si="2"/>
        <v>-3030</v>
      </c>
      <c r="L36" s="561">
        <f t="shared" si="3"/>
        <v>102.70188329290913</v>
      </c>
      <c r="M36" s="550">
        <v>112143.90841685969</v>
      </c>
      <c r="N36" s="550">
        <f t="shared" si="4"/>
        <v>-9.1583140310831368E-2</v>
      </c>
      <c r="O36" s="550">
        <f t="shared" si="5"/>
        <v>1407.7789538842464</v>
      </c>
      <c r="P36" s="561">
        <f t="shared" si="6"/>
        <v>679.05434879999996</v>
      </c>
      <c r="Q36" s="561">
        <f t="shared" si="7"/>
        <v>452.70289919999999</v>
      </c>
      <c r="R36" s="561">
        <f>P36+'T5C_Drought_PLAN_vs_PRFM '!K36</f>
        <v>683.61754880000001</v>
      </c>
      <c r="S36" s="561">
        <f>Q36+'T5C_Drought_PLAN_vs_PRFM '!L36</f>
        <v>455.73889919999999</v>
      </c>
      <c r="T36" s="561">
        <f t="shared" si="8"/>
        <v>1.0270188329290912</v>
      </c>
      <c r="U36" s="22">
        <f t="shared" si="9"/>
        <v>1103.5511984</v>
      </c>
      <c r="V36" s="561">
        <f t="shared" si="10"/>
        <v>662.13071903999992</v>
      </c>
      <c r="W36" s="464">
        <f t="shared" si="11"/>
        <v>441.42047936000006</v>
      </c>
      <c r="X36" s="464"/>
      <c r="Z36" s="464"/>
      <c r="AA36" s="509"/>
      <c r="AB36" s="464"/>
      <c r="AC36" s="541"/>
      <c r="AD36" s="541"/>
      <c r="AE36" s="541"/>
      <c r="AG36" s="480">
        <f t="shared" si="12"/>
        <v>2672.0367999999999</v>
      </c>
      <c r="AH36" s="509">
        <f t="shared" si="13"/>
        <v>26017408</v>
      </c>
      <c r="AI36" s="509">
        <f t="shared" si="14"/>
        <v>2601.7408</v>
      </c>
    </row>
    <row r="37" spans="1:36" s="422" customFormat="1" ht="14.25">
      <c r="A37" s="421">
        <v>26</v>
      </c>
      <c r="B37" s="385" t="s">
        <v>914</v>
      </c>
      <c r="C37" s="454">
        <v>603</v>
      </c>
      <c r="D37" s="454">
        <v>83180</v>
      </c>
      <c r="E37" s="421">
        <v>232</v>
      </c>
      <c r="F37" s="427">
        <f t="shared" si="0"/>
        <v>19297760</v>
      </c>
      <c r="G37" s="445">
        <v>604</v>
      </c>
      <c r="H37" s="29">
        <v>20124144</v>
      </c>
      <c r="I37" s="459">
        <v>232</v>
      </c>
      <c r="J37" s="29">
        <f t="shared" si="1"/>
        <v>86742</v>
      </c>
      <c r="K37" s="22">
        <f t="shared" si="2"/>
        <v>-3562</v>
      </c>
      <c r="L37" s="561">
        <f t="shared" si="3"/>
        <v>104.28227939408512</v>
      </c>
      <c r="M37" s="550">
        <v>83180.063664045025</v>
      </c>
      <c r="N37" s="550">
        <f t="shared" si="4"/>
        <v>6.3664045024779625E-2</v>
      </c>
      <c r="O37" s="550">
        <f t="shared" si="5"/>
        <v>603.47657072113896</v>
      </c>
      <c r="P37" s="561">
        <f t="shared" si="6"/>
        <v>503.67153599999995</v>
      </c>
      <c r="Q37" s="561">
        <f t="shared" si="7"/>
        <v>335.781024</v>
      </c>
      <c r="R37" s="561">
        <f>P37+'T5C_Drought_PLAN_vs_PRFM '!K37</f>
        <v>503.67153599999995</v>
      </c>
      <c r="S37" s="561">
        <f>Q37+'T5C_Drought_PLAN_vs_PRFM '!L37</f>
        <v>335.781024</v>
      </c>
      <c r="T37" s="561">
        <f t="shared" si="8"/>
        <v>1.0428227939408512</v>
      </c>
      <c r="U37" s="22">
        <f t="shared" si="9"/>
        <v>831.12714719999997</v>
      </c>
      <c r="V37" s="561">
        <f t="shared" si="10"/>
        <v>498.67628831999997</v>
      </c>
      <c r="W37" s="464">
        <f t="shared" si="11"/>
        <v>332.45085888</v>
      </c>
      <c r="X37" s="464"/>
      <c r="Z37" s="464"/>
      <c r="AA37" s="509"/>
      <c r="AB37" s="464"/>
      <c r="AC37" s="541"/>
      <c r="AD37" s="541"/>
      <c r="AE37" s="541"/>
      <c r="AG37" s="480">
        <f t="shared" si="12"/>
        <v>2012.4143999999999</v>
      </c>
      <c r="AH37" s="509">
        <f t="shared" si="13"/>
        <v>19297760</v>
      </c>
      <c r="AI37" s="509">
        <f t="shared" si="14"/>
        <v>1929.7760000000001</v>
      </c>
    </row>
    <row r="38" spans="1:36" s="422" customFormat="1" ht="14.25">
      <c r="A38" s="421">
        <v>27</v>
      </c>
      <c r="B38" s="385" t="s">
        <v>915</v>
      </c>
      <c r="C38" s="454">
        <v>840</v>
      </c>
      <c r="D38" s="454">
        <v>66498</v>
      </c>
      <c r="E38" s="421">
        <v>232</v>
      </c>
      <c r="F38" s="427">
        <f t="shared" si="0"/>
        <v>15427536</v>
      </c>
      <c r="G38" s="445">
        <v>841</v>
      </c>
      <c r="H38" s="29">
        <v>15878080</v>
      </c>
      <c r="I38" s="459">
        <v>232</v>
      </c>
      <c r="J38" s="29">
        <f t="shared" si="1"/>
        <v>68440</v>
      </c>
      <c r="K38" s="22">
        <f t="shared" si="2"/>
        <v>-1942</v>
      </c>
      <c r="L38" s="561">
        <f t="shared" si="3"/>
        <v>102.92038858311527</v>
      </c>
      <c r="M38" s="550">
        <v>56497.649197161802</v>
      </c>
      <c r="N38" s="550">
        <f t="shared" si="4"/>
        <v>-10000.350802838198</v>
      </c>
      <c r="O38" s="550">
        <f t="shared" si="5"/>
        <v>840.27118539151968</v>
      </c>
      <c r="P38" s="561">
        <f t="shared" si="6"/>
        <v>402.6586896</v>
      </c>
      <c r="Q38" s="561">
        <f t="shared" si="7"/>
        <v>268.43912640000002</v>
      </c>
      <c r="R38" s="561">
        <f>P38+'T5C_Drought_PLAN_vs_PRFM '!K38</f>
        <v>402.6586896</v>
      </c>
      <c r="S38" s="561">
        <f>Q38+'T5C_Drought_PLAN_vs_PRFM '!L38</f>
        <v>268.43912640000002</v>
      </c>
      <c r="T38" s="561">
        <f t="shared" si="8"/>
        <v>1.0292038858311527</v>
      </c>
      <c r="U38" s="22">
        <f t="shared" si="9"/>
        <v>655.76470399999994</v>
      </c>
      <c r="V38" s="561">
        <f t="shared" si="10"/>
        <v>393.45882239999997</v>
      </c>
      <c r="W38" s="464">
        <f t="shared" si="11"/>
        <v>262.30588159999996</v>
      </c>
      <c r="X38" s="464"/>
      <c r="Z38" s="464"/>
      <c r="AA38" s="509"/>
      <c r="AB38" s="464"/>
      <c r="AC38" s="541"/>
      <c r="AD38" s="541"/>
      <c r="AE38" s="541"/>
      <c r="AG38" s="480">
        <f t="shared" si="12"/>
        <v>1587.808</v>
      </c>
      <c r="AH38" s="509">
        <f t="shared" si="13"/>
        <v>15427536</v>
      </c>
      <c r="AI38" s="509">
        <f t="shared" si="14"/>
        <v>1542.7536</v>
      </c>
    </row>
    <row r="39" spans="1:36" s="422" customFormat="1" ht="14.25">
      <c r="A39" s="421">
        <v>28</v>
      </c>
      <c r="B39" s="385" t="s">
        <v>916</v>
      </c>
      <c r="C39" s="454">
        <v>848</v>
      </c>
      <c r="D39" s="454">
        <v>63804</v>
      </c>
      <c r="E39" s="421">
        <v>232</v>
      </c>
      <c r="F39" s="427">
        <f t="shared" si="0"/>
        <v>14802528</v>
      </c>
      <c r="G39" s="445">
        <v>849</v>
      </c>
      <c r="H39" s="29">
        <v>15020840</v>
      </c>
      <c r="I39" s="459">
        <v>232</v>
      </c>
      <c r="J39" s="29">
        <f t="shared" si="1"/>
        <v>64745</v>
      </c>
      <c r="K39" s="22">
        <f t="shared" si="2"/>
        <v>-941</v>
      </c>
      <c r="L39" s="561">
        <f t="shared" si="3"/>
        <v>101.47482916431572</v>
      </c>
      <c r="M39" s="550">
        <v>63804.491752669222</v>
      </c>
      <c r="N39" s="550">
        <f t="shared" si="4"/>
        <v>0.49175266922247829</v>
      </c>
      <c r="O39" s="550">
        <f t="shared" si="5"/>
        <v>848.26425255338904</v>
      </c>
      <c r="P39" s="561">
        <f t="shared" si="6"/>
        <v>386.34598080000001</v>
      </c>
      <c r="Q39" s="561">
        <f t="shared" si="7"/>
        <v>257.56398719999999</v>
      </c>
      <c r="R39" s="561">
        <f>P39+'T5C_Drought_PLAN_vs_PRFM '!K39</f>
        <v>386.34598080000001</v>
      </c>
      <c r="S39" s="561">
        <f>Q39+'T5C_Drought_PLAN_vs_PRFM '!L39</f>
        <v>257.56398719999999</v>
      </c>
      <c r="T39" s="561">
        <f t="shared" si="8"/>
        <v>1.0147482916431572</v>
      </c>
      <c r="U39" s="22">
        <f t="shared" si="9"/>
        <v>620.36069199999997</v>
      </c>
      <c r="V39" s="561">
        <f t="shared" si="10"/>
        <v>372.21641519999997</v>
      </c>
      <c r="W39" s="464">
        <f t="shared" si="11"/>
        <v>248.1442768</v>
      </c>
      <c r="X39" s="464"/>
      <c r="Z39" s="464"/>
      <c r="AA39" s="509"/>
      <c r="AB39" s="464"/>
      <c r="AC39" s="541"/>
      <c r="AD39" s="541"/>
      <c r="AE39" s="541"/>
      <c r="AG39" s="480">
        <f t="shared" si="12"/>
        <v>1502.0840000000001</v>
      </c>
      <c r="AH39" s="509">
        <f t="shared" si="13"/>
        <v>14802528</v>
      </c>
      <c r="AI39" s="509">
        <f t="shared" si="14"/>
        <v>1480.2528</v>
      </c>
    </row>
    <row r="40" spans="1:36" s="422" customFormat="1" ht="14.25">
      <c r="A40" s="421">
        <v>29</v>
      </c>
      <c r="B40" s="385" t="s">
        <v>917</v>
      </c>
      <c r="C40" s="454">
        <v>509</v>
      </c>
      <c r="D40" s="454">
        <v>54904</v>
      </c>
      <c r="E40" s="421">
        <v>232</v>
      </c>
      <c r="F40" s="427">
        <f t="shared" si="0"/>
        <v>12737728</v>
      </c>
      <c r="G40" s="445">
        <v>509</v>
      </c>
      <c r="H40" s="29">
        <v>13604016</v>
      </c>
      <c r="I40" s="459">
        <v>232</v>
      </c>
      <c r="J40" s="29">
        <f t="shared" si="1"/>
        <v>58638</v>
      </c>
      <c r="K40" s="22">
        <f t="shared" si="2"/>
        <v>-3734</v>
      </c>
      <c r="L40" s="561">
        <f t="shared" si="3"/>
        <v>106.80096167856622</v>
      </c>
      <c r="M40" s="550">
        <v>54903.596533728276</v>
      </c>
      <c r="N40" s="550">
        <f t="shared" si="4"/>
        <v>-0.40346627172402805</v>
      </c>
      <c r="O40" s="550">
        <f t="shared" si="5"/>
        <v>508.55889817394001</v>
      </c>
      <c r="P40" s="561">
        <f t="shared" si="6"/>
        <v>332.45470079999996</v>
      </c>
      <c r="Q40" s="561">
        <f t="shared" si="7"/>
        <v>221.6364672</v>
      </c>
      <c r="R40" s="561">
        <f>P40+'T5C_Drought_PLAN_vs_PRFM '!K40</f>
        <v>386.22110079999993</v>
      </c>
      <c r="S40" s="561">
        <f>Q40+'T5C_Drought_PLAN_vs_PRFM '!L40</f>
        <v>257.40846720000002</v>
      </c>
      <c r="T40" s="561">
        <f t="shared" si="8"/>
        <v>1.0680096167856623</v>
      </c>
      <c r="U40" s="22">
        <f t="shared" si="9"/>
        <v>561.84586079999997</v>
      </c>
      <c r="V40" s="561">
        <f t="shared" si="10"/>
        <v>337.10751647999996</v>
      </c>
      <c r="W40" s="464">
        <f t="shared" si="11"/>
        <v>224.73834432000001</v>
      </c>
      <c r="X40" s="464"/>
      <c r="Z40" s="464"/>
      <c r="AA40" s="509"/>
      <c r="AB40" s="464"/>
      <c r="AC40" s="541"/>
      <c r="AD40" s="541"/>
      <c r="AE40" s="541"/>
      <c r="AG40" s="480">
        <f t="shared" si="12"/>
        <v>1360.4015999999999</v>
      </c>
      <c r="AH40" s="509">
        <f t="shared" si="13"/>
        <v>12737728</v>
      </c>
      <c r="AI40" s="509">
        <f t="shared" si="14"/>
        <v>1273.7728</v>
      </c>
    </row>
    <row r="41" spans="1:36" s="422" customFormat="1" ht="14.25">
      <c r="A41" s="421">
        <v>30</v>
      </c>
      <c r="B41" s="385" t="s">
        <v>918</v>
      </c>
      <c r="C41" s="454">
        <v>616</v>
      </c>
      <c r="D41" s="454">
        <v>76534</v>
      </c>
      <c r="E41" s="421">
        <v>232</v>
      </c>
      <c r="F41" s="427">
        <f t="shared" si="0"/>
        <v>17755888</v>
      </c>
      <c r="G41" s="445">
        <v>617</v>
      </c>
      <c r="H41" s="29">
        <v>17021376</v>
      </c>
      <c r="I41" s="459">
        <v>232</v>
      </c>
      <c r="J41" s="29">
        <f t="shared" si="1"/>
        <v>73368</v>
      </c>
      <c r="K41" s="22">
        <f t="shared" si="2"/>
        <v>3166</v>
      </c>
      <c r="L41" s="561">
        <f t="shared" si="3"/>
        <v>95.863276452295707</v>
      </c>
      <c r="M41" s="550">
        <v>76533.877617024205</v>
      </c>
      <c r="N41" s="550">
        <f t="shared" si="4"/>
        <v>-0.12238297579460777</v>
      </c>
      <c r="O41" s="550">
        <f t="shared" si="5"/>
        <v>616.46530485917674</v>
      </c>
      <c r="P41" s="561">
        <f t="shared" si="6"/>
        <v>463.42867680000001</v>
      </c>
      <c r="Q41" s="561">
        <f t="shared" si="7"/>
        <v>308.95245119999998</v>
      </c>
      <c r="R41" s="561">
        <f>P41+'T5C_Drought_PLAN_vs_PRFM '!K41</f>
        <v>463.42867680000001</v>
      </c>
      <c r="S41" s="561">
        <f>Q41+'T5C_Drought_PLAN_vs_PRFM '!L41</f>
        <v>308.95245119999998</v>
      </c>
      <c r="T41" s="561">
        <f t="shared" si="8"/>
        <v>0.95863276452295709</v>
      </c>
      <c r="U41" s="22">
        <f t="shared" si="9"/>
        <v>702.98282879999999</v>
      </c>
      <c r="V41" s="561">
        <f t="shared" si="10"/>
        <v>421.78969727999998</v>
      </c>
      <c r="W41" s="464">
        <f t="shared" si="11"/>
        <v>281.19313152000001</v>
      </c>
      <c r="X41" s="464"/>
      <c r="Z41" s="464"/>
      <c r="AA41" s="509"/>
      <c r="AB41" s="464"/>
      <c r="AC41" s="541"/>
      <c r="AD41" s="541"/>
      <c r="AE41" s="541"/>
      <c r="AG41" s="480">
        <f t="shared" si="12"/>
        <v>1702.1376</v>
      </c>
      <c r="AH41" s="509">
        <f t="shared" si="13"/>
        <v>17755888</v>
      </c>
      <c r="AI41" s="509">
        <f t="shared" si="14"/>
        <v>1775.5888</v>
      </c>
    </row>
    <row r="42" spans="1:36" s="422" customFormat="1" ht="14.25">
      <c r="A42" s="421">
        <v>31</v>
      </c>
      <c r="B42" s="385" t="s">
        <v>919</v>
      </c>
      <c r="C42" s="454">
        <v>466</v>
      </c>
      <c r="D42" s="454">
        <v>49316</v>
      </c>
      <c r="E42" s="421">
        <v>232</v>
      </c>
      <c r="F42" s="427">
        <f t="shared" si="0"/>
        <v>11441312</v>
      </c>
      <c r="G42" s="445">
        <v>466</v>
      </c>
      <c r="H42" s="29">
        <v>11847312</v>
      </c>
      <c r="I42" s="459">
        <v>232</v>
      </c>
      <c r="J42" s="29">
        <f t="shared" si="1"/>
        <v>51066</v>
      </c>
      <c r="K42" s="22">
        <f t="shared" si="2"/>
        <v>-1750</v>
      </c>
      <c r="L42" s="561">
        <f t="shared" si="3"/>
        <v>103.5485440830562</v>
      </c>
      <c r="M42" s="550">
        <v>49316.119452190193</v>
      </c>
      <c r="N42" s="550">
        <f t="shared" si="4"/>
        <v>0.11945219019253273</v>
      </c>
      <c r="O42" s="550">
        <f t="shared" si="5"/>
        <v>465.59616217889203</v>
      </c>
      <c r="P42" s="561">
        <f t="shared" si="6"/>
        <v>298.61824319999999</v>
      </c>
      <c r="Q42" s="561">
        <f t="shared" si="7"/>
        <v>199.0788288</v>
      </c>
      <c r="R42" s="561">
        <f>P42+'T5C_Drought_PLAN_vs_PRFM '!K42</f>
        <v>298.61824319999999</v>
      </c>
      <c r="S42" s="561">
        <f>Q42+'T5C_Drought_PLAN_vs_PRFM '!L42</f>
        <v>199.0788288</v>
      </c>
      <c r="T42" s="561">
        <f t="shared" si="8"/>
        <v>1.035485440830562</v>
      </c>
      <c r="U42" s="22">
        <f t="shared" si="9"/>
        <v>489.29398560000004</v>
      </c>
      <c r="V42" s="561">
        <f t="shared" si="10"/>
        <v>293.57639136</v>
      </c>
      <c r="W42" s="464">
        <f t="shared" si="11"/>
        <v>195.71759424000004</v>
      </c>
      <c r="X42" s="464"/>
      <c r="Z42" s="464"/>
      <c r="AA42" s="509"/>
      <c r="AB42" s="464"/>
      <c r="AC42" s="541"/>
      <c r="AD42" s="541"/>
      <c r="AE42" s="541"/>
      <c r="AG42" s="480">
        <f t="shared" si="12"/>
        <v>1184.7311999999999</v>
      </c>
      <c r="AH42" s="509">
        <f t="shared" si="13"/>
        <v>11441312</v>
      </c>
      <c r="AI42" s="509">
        <f t="shared" si="14"/>
        <v>1144.1312</v>
      </c>
    </row>
    <row r="43" spans="1:36" s="422" customFormat="1" ht="14.25">
      <c r="A43" s="421">
        <v>32</v>
      </c>
      <c r="B43" s="385" t="s">
        <v>920</v>
      </c>
      <c r="C43" s="454">
        <v>730</v>
      </c>
      <c r="D43" s="454">
        <v>61932</v>
      </c>
      <c r="E43" s="421">
        <v>232</v>
      </c>
      <c r="F43" s="427">
        <f t="shared" si="0"/>
        <v>14368224</v>
      </c>
      <c r="G43" s="445">
        <v>730</v>
      </c>
      <c r="H43" s="29">
        <v>14409056</v>
      </c>
      <c r="I43" s="459">
        <v>232</v>
      </c>
      <c r="J43" s="29">
        <f t="shared" si="1"/>
        <v>62108</v>
      </c>
      <c r="K43" s="22">
        <f t="shared" si="2"/>
        <v>-176</v>
      </c>
      <c r="L43" s="561">
        <f t="shared" si="3"/>
        <v>100.28418265194084</v>
      </c>
      <c r="M43" s="550">
        <v>49930.705074450401</v>
      </c>
      <c r="N43" s="550">
        <f t="shared" si="4"/>
        <v>-12001.294925549599</v>
      </c>
      <c r="O43" s="550">
        <f t="shared" si="5"/>
        <v>729.36737852058195</v>
      </c>
      <c r="P43" s="561">
        <f t="shared" si="6"/>
        <v>375.01064639999998</v>
      </c>
      <c r="Q43" s="561">
        <f t="shared" si="7"/>
        <v>250.00709760000001</v>
      </c>
      <c r="R43" s="561">
        <f>P43+'T5C_Drought_PLAN_vs_PRFM '!K43</f>
        <v>375.01064639999998</v>
      </c>
      <c r="S43" s="561">
        <f>Q43+'T5C_Drought_PLAN_vs_PRFM '!L43</f>
        <v>250.00709760000001</v>
      </c>
      <c r="T43" s="561">
        <f t="shared" si="8"/>
        <v>1.0028418265194083</v>
      </c>
      <c r="U43" s="22">
        <f t="shared" si="9"/>
        <v>595.09401279999997</v>
      </c>
      <c r="V43" s="561">
        <f t="shared" si="10"/>
        <v>357.05640767999995</v>
      </c>
      <c r="W43" s="464">
        <f t="shared" si="11"/>
        <v>238.03760512000002</v>
      </c>
      <c r="X43" s="464"/>
      <c r="Z43" s="464"/>
      <c r="AA43" s="509"/>
      <c r="AB43" s="464"/>
      <c r="AC43" s="541"/>
      <c r="AD43" s="541"/>
      <c r="AE43" s="541"/>
      <c r="AG43" s="480">
        <f t="shared" si="12"/>
        <v>1440.9056</v>
      </c>
      <c r="AH43" s="509">
        <f t="shared" si="13"/>
        <v>14368224</v>
      </c>
      <c r="AI43" s="509">
        <f t="shared" si="14"/>
        <v>1436.8224</v>
      </c>
    </row>
    <row r="44" spans="1:36" s="422" customFormat="1" ht="14.25">
      <c r="A44" s="421">
        <v>33</v>
      </c>
      <c r="B44" s="385" t="s">
        <v>921</v>
      </c>
      <c r="C44" s="454">
        <v>2451</v>
      </c>
      <c r="D44" s="454">
        <v>156490</v>
      </c>
      <c r="E44" s="421">
        <v>232</v>
      </c>
      <c r="F44" s="427">
        <f t="shared" si="0"/>
        <v>36305680</v>
      </c>
      <c r="G44" s="445">
        <v>2453</v>
      </c>
      <c r="H44" s="29">
        <v>36221464</v>
      </c>
      <c r="I44" s="459">
        <v>232</v>
      </c>
      <c r="J44" s="29">
        <f t="shared" si="1"/>
        <v>156127</v>
      </c>
      <c r="K44" s="22">
        <f t="shared" si="2"/>
        <v>363</v>
      </c>
      <c r="L44" s="561">
        <f t="shared" si="3"/>
        <v>99.768036296248965</v>
      </c>
      <c r="M44" s="550">
        <v>189489.55504919309</v>
      </c>
      <c r="N44" s="550">
        <f t="shared" si="4"/>
        <v>32999.555049193092</v>
      </c>
      <c r="O44" s="550">
        <f t="shared" si="5"/>
        <v>2450.8742185082019</v>
      </c>
      <c r="P44" s="561">
        <f t="shared" si="6"/>
        <v>947.57824799999992</v>
      </c>
      <c r="Q44" s="561">
        <f t="shared" si="7"/>
        <v>631.71883200000002</v>
      </c>
      <c r="R44" s="561">
        <f>P44+'T5C_Drought_PLAN_vs_PRFM '!K44</f>
        <v>947.57824799999992</v>
      </c>
      <c r="S44" s="561">
        <f>Q44+'T5C_Drought_PLAN_vs_PRFM '!L44</f>
        <v>631.71883200000002</v>
      </c>
      <c r="T44" s="561">
        <f t="shared" si="8"/>
        <v>0.99768036296248963</v>
      </c>
      <c r="U44" s="22">
        <f t="shared" si="9"/>
        <v>1495.9464631999999</v>
      </c>
      <c r="V44" s="561">
        <f t="shared" si="10"/>
        <v>897.56787791999989</v>
      </c>
      <c r="W44" s="464">
        <f t="shared" si="11"/>
        <v>598.37858528000004</v>
      </c>
      <c r="X44" s="464"/>
      <c r="Z44" s="464"/>
      <c r="AA44" s="509"/>
      <c r="AB44" s="464"/>
      <c r="AC44" s="541"/>
      <c r="AD44" s="541"/>
      <c r="AE44" s="541"/>
      <c r="AG44" s="480">
        <f t="shared" si="12"/>
        <v>3622.1464000000001</v>
      </c>
      <c r="AH44" s="509">
        <f t="shared" si="13"/>
        <v>36305680</v>
      </c>
      <c r="AI44" s="509">
        <f t="shared" si="14"/>
        <v>3630.5680000000002</v>
      </c>
    </row>
    <row r="45" spans="1:36" s="422" customFormat="1">
      <c r="A45" s="421"/>
      <c r="B45" s="389" t="s">
        <v>19</v>
      </c>
      <c r="C45" s="390">
        <f>SUM(C12:C44)</f>
        <v>32282</v>
      </c>
      <c r="D45" s="390">
        <f t="shared" ref="D45:G45" si="15">SUM(D12:D44)</f>
        <v>2945860</v>
      </c>
      <c r="E45" s="390"/>
      <c r="F45" s="390">
        <f t="shared" si="15"/>
        <v>683439520</v>
      </c>
      <c r="G45" s="390">
        <f t="shared" si="15"/>
        <v>32310</v>
      </c>
      <c r="H45" s="390">
        <v>689505856</v>
      </c>
      <c r="I45" s="390"/>
      <c r="J45" s="29">
        <f>SUM(J12:J44)</f>
        <v>2972008</v>
      </c>
      <c r="K45" s="22">
        <f t="shared" si="2"/>
        <v>-26148</v>
      </c>
      <c r="L45" s="561">
        <f t="shared" si="3"/>
        <v>100.88761855621109</v>
      </c>
      <c r="M45" s="550">
        <v>2945860</v>
      </c>
      <c r="N45" s="550">
        <f t="shared" si="4"/>
        <v>0</v>
      </c>
      <c r="O45" s="550">
        <f t="shared" si="5"/>
        <v>32282</v>
      </c>
      <c r="P45" s="561"/>
      <c r="Q45" s="545"/>
      <c r="R45" s="561"/>
      <c r="S45" s="22"/>
      <c r="T45" s="561"/>
      <c r="U45" s="22"/>
      <c r="V45" s="22"/>
      <c r="W45" s="509"/>
      <c r="X45" s="464"/>
      <c r="Y45" s="544"/>
      <c r="Z45" s="464"/>
      <c r="AA45" s="509"/>
      <c r="AB45" s="509"/>
      <c r="AC45" s="541"/>
      <c r="AD45" s="541"/>
      <c r="AE45" s="541"/>
      <c r="AG45" s="480">
        <f t="shared" si="12"/>
        <v>68950.585600000006</v>
      </c>
      <c r="AH45" s="509">
        <f t="shared" si="13"/>
        <v>683439520</v>
      </c>
      <c r="AI45" s="509">
        <f t="shared" si="14"/>
        <v>68343.952000000005</v>
      </c>
      <c r="AJ45" s="422">
        <f>H45-AI45</f>
        <v>689437512.04799998</v>
      </c>
    </row>
    <row r="46" spans="1:36">
      <c r="A46" s="11"/>
      <c r="B46" s="31"/>
      <c r="C46" s="31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36">
      <c r="A47" s="944" t="s">
        <v>874</v>
      </c>
      <c r="B47" s="944"/>
      <c r="C47" s="944"/>
      <c r="D47" s="944"/>
      <c r="E47" s="944"/>
      <c r="F47" s="944"/>
      <c r="G47" s="944"/>
      <c r="H47" s="944"/>
      <c r="I47" s="22"/>
      <c r="J47" s="22"/>
      <c r="K47" s="22"/>
      <c r="L47" s="76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36">
      <c r="A48" s="11"/>
      <c r="B48" s="31"/>
      <c r="C48" s="3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5.75" customHeight="1">
      <c r="A49" s="14" t="s">
        <v>12</v>
      </c>
      <c r="B49" s="14"/>
      <c r="C49" s="14"/>
      <c r="D49" s="14"/>
      <c r="E49" s="543"/>
      <c r="F49" s="543"/>
      <c r="G49" s="14"/>
      <c r="I49" s="866" t="s">
        <v>13</v>
      </c>
      <c r="J49" s="866"/>
      <c r="K49" s="729"/>
      <c r="L49" s="729"/>
      <c r="M49" s="729"/>
      <c r="N49" s="729"/>
      <c r="O49" s="729"/>
      <c r="P49" s="640"/>
      <c r="Q49" s="640"/>
      <c r="R49" s="640"/>
      <c r="S49" s="496"/>
      <c r="T49" s="496"/>
      <c r="U49" s="496"/>
      <c r="V49" s="496"/>
    </row>
    <row r="50" spans="1:22" ht="12.75" customHeight="1">
      <c r="A50" s="871" t="s">
        <v>14</v>
      </c>
      <c r="B50" s="871"/>
      <c r="C50" s="871"/>
      <c r="D50" s="871"/>
      <c r="E50" s="871"/>
      <c r="F50" s="871"/>
      <c r="G50" s="871"/>
      <c r="H50" s="871"/>
      <c r="I50" s="871"/>
      <c r="J50" s="871"/>
      <c r="K50" s="730"/>
      <c r="L50" s="730"/>
      <c r="M50" s="730"/>
      <c r="N50" s="730"/>
      <c r="O50" s="730"/>
      <c r="P50" s="636"/>
      <c r="Q50" s="636"/>
      <c r="R50" s="636"/>
      <c r="S50" s="492"/>
      <c r="T50" s="492"/>
      <c r="U50" s="492"/>
      <c r="V50" s="492"/>
    </row>
    <row r="51" spans="1:22" ht="12.75" customHeight="1">
      <c r="A51" s="871" t="s">
        <v>20</v>
      </c>
      <c r="B51" s="871"/>
      <c r="C51" s="871"/>
      <c r="D51" s="871"/>
      <c r="E51" s="871"/>
      <c r="F51" s="871"/>
      <c r="G51" s="871"/>
      <c r="H51" s="871"/>
      <c r="I51" s="871"/>
      <c r="J51" s="871"/>
      <c r="K51" s="730"/>
      <c r="L51" s="730"/>
      <c r="M51" s="730"/>
      <c r="N51" s="730"/>
      <c r="O51" s="730"/>
      <c r="P51" s="636"/>
      <c r="Q51" s="636"/>
      <c r="R51" s="636"/>
      <c r="S51" s="492"/>
      <c r="T51" s="492"/>
      <c r="U51" s="492"/>
      <c r="V51" s="492"/>
    </row>
    <row r="52" spans="1:22">
      <c r="A52" s="14"/>
      <c r="B52" s="14"/>
      <c r="C52" s="14"/>
      <c r="E52" s="14"/>
      <c r="H52" s="850" t="s">
        <v>87</v>
      </c>
      <c r="I52" s="850"/>
      <c r="J52" s="850"/>
      <c r="K52" s="727"/>
      <c r="L52" s="727"/>
      <c r="M52" s="727"/>
      <c r="N52" s="727"/>
      <c r="O52" s="727"/>
      <c r="P52" s="639"/>
      <c r="Q52" s="639"/>
      <c r="R52" s="639"/>
      <c r="S52" s="495"/>
      <c r="T52" s="495"/>
      <c r="U52" s="495"/>
      <c r="V52" s="495"/>
    </row>
    <row r="56" spans="1:22">
      <c r="A56" s="945"/>
      <c r="B56" s="945"/>
      <c r="C56" s="945"/>
      <c r="D56" s="945"/>
      <c r="E56" s="945"/>
      <c r="F56" s="945"/>
      <c r="G56" s="945"/>
      <c r="H56" s="945"/>
      <c r="I56" s="945"/>
      <c r="J56" s="945"/>
    </row>
    <row r="58" spans="1:22">
      <c r="A58" s="945"/>
      <c r="B58" s="945"/>
      <c r="C58" s="945"/>
      <c r="D58" s="945"/>
      <c r="E58" s="945"/>
      <c r="F58" s="945"/>
      <c r="G58" s="945"/>
      <c r="H58" s="945"/>
      <c r="I58" s="945"/>
      <c r="J58" s="945"/>
    </row>
  </sheetData>
  <mergeCells count="17">
    <mergeCell ref="A47:H47"/>
    <mergeCell ref="I49:J49"/>
    <mergeCell ref="H52:J52"/>
    <mergeCell ref="A58:J58"/>
    <mergeCell ref="A56:J56"/>
    <mergeCell ref="A50:J50"/>
    <mergeCell ref="A51:J51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Z58"/>
  <sheetViews>
    <sheetView view="pageBreakPreview" topLeftCell="A42" zoomScale="90" zoomScaleSheetLayoutView="90" workbookViewId="0">
      <selection activeCell="A50" sqref="A50:J50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4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3" width="19.28515625" style="735" customWidth="1"/>
    <col min="14" max="15" width="19.28515625" style="654" customWidth="1"/>
    <col min="16" max="16" width="12.7109375" style="654" customWidth="1"/>
    <col min="17" max="17" width="13.7109375" style="654" customWidth="1"/>
    <col min="18" max="18" width="13" style="654" customWidth="1"/>
    <col min="19" max="21" width="19.28515625" style="654" customWidth="1"/>
    <col min="22" max="37" width="19.28515625" style="622" customWidth="1"/>
    <col min="38" max="38" width="19.28515625" style="509" customWidth="1"/>
    <col min="39" max="39" width="11.28515625" style="509" customWidth="1"/>
    <col min="40" max="42" width="19.28515625" style="509" customWidth="1"/>
    <col min="43" max="43" width="16" style="509" customWidth="1"/>
    <col min="44" max="45" width="14.85546875" style="509" customWidth="1"/>
    <col min="46" max="46" width="9.140625" style="15"/>
    <col min="47" max="47" width="9.140625" style="509"/>
    <col min="48" max="48" width="13.140625" style="15" customWidth="1"/>
    <col min="49" max="49" width="14" style="15" customWidth="1"/>
    <col min="50" max="16384" width="9.140625" style="15"/>
  </cols>
  <sheetData>
    <row r="1" spans="1:52" customFormat="1">
      <c r="E1" s="851"/>
      <c r="F1" s="851"/>
      <c r="G1" s="851"/>
      <c r="H1" s="851"/>
      <c r="I1" s="851"/>
      <c r="J1" s="149" t="s">
        <v>365</v>
      </c>
      <c r="K1" s="736"/>
      <c r="L1" s="736"/>
      <c r="M1" s="736"/>
      <c r="N1" s="656"/>
      <c r="O1" s="656"/>
      <c r="P1" s="656"/>
      <c r="Q1" s="656"/>
      <c r="R1" s="656"/>
      <c r="S1" s="656"/>
      <c r="T1" s="656"/>
      <c r="U1" s="656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511"/>
      <c r="AM1" s="511"/>
      <c r="AN1" s="511"/>
      <c r="AO1" s="511"/>
      <c r="AP1" s="511"/>
      <c r="AQ1" s="511"/>
      <c r="AR1" s="511"/>
      <c r="AS1" s="511"/>
    </row>
    <row r="2" spans="1:52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733"/>
      <c r="L2" s="733"/>
      <c r="M2" s="733"/>
      <c r="N2" s="650"/>
      <c r="O2" s="650"/>
      <c r="P2" s="650"/>
      <c r="Q2" s="650"/>
      <c r="R2" s="650"/>
      <c r="S2" s="650"/>
      <c r="T2" s="650"/>
      <c r="U2" s="650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506"/>
      <c r="AM2" s="506"/>
      <c r="AN2" s="506"/>
      <c r="AO2" s="506"/>
      <c r="AP2" s="506"/>
      <c r="AQ2" s="506"/>
      <c r="AR2" s="506"/>
      <c r="AS2" s="506"/>
    </row>
    <row r="3" spans="1:52" customFormat="1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  <c r="K3" s="726"/>
      <c r="L3" s="726"/>
      <c r="M3" s="726"/>
      <c r="N3" s="645"/>
      <c r="O3" s="645"/>
      <c r="P3" s="645"/>
      <c r="Q3" s="645"/>
      <c r="R3" s="645"/>
      <c r="S3" s="645"/>
      <c r="T3" s="645"/>
      <c r="U3" s="645"/>
      <c r="V3" s="614"/>
      <c r="W3" s="614"/>
      <c r="X3" s="614"/>
      <c r="Y3" s="614"/>
      <c r="Z3" s="614"/>
      <c r="AA3" s="614"/>
      <c r="AB3" s="614"/>
      <c r="AC3" s="614"/>
      <c r="AD3" s="614"/>
      <c r="AE3" s="614"/>
      <c r="AF3" s="614"/>
      <c r="AG3" s="614"/>
      <c r="AH3" s="614"/>
      <c r="AI3" s="614"/>
      <c r="AJ3" s="614"/>
      <c r="AK3" s="614"/>
      <c r="AL3" s="500"/>
      <c r="AM3" s="500"/>
      <c r="AN3" s="500"/>
      <c r="AO3" s="500"/>
      <c r="AP3" s="500"/>
      <c r="AQ3" s="500"/>
      <c r="AR3" s="500"/>
      <c r="AS3" s="500"/>
    </row>
    <row r="4" spans="1:52" customFormat="1" ht="14.25" customHeight="1"/>
    <row r="5" spans="1:52" ht="15.75">
      <c r="A5" s="933" t="s">
        <v>753</v>
      </c>
      <c r="B5" s="933"/>
      <c r="C5" s="933"/>
      <c r="D5" s="933"/>
      <c r="E5" s="933"/>
      <c r="F5" s="933"/>
      <c r="G5" s="933"/>
      <c r="H5" s="933"/>
      <c r="I5" s="933"/>
      <c r="J5" s="933"/>
      <c r="K5" s="734"/>
      <c r="L5" s="734"/>
      <c r="M5" s="734"/>
      <c r="N5" s="651"/>
      <c r="O5" s="651"/>
      <c r="P5" s="651"/>
      <c r="Q5" s="651"/>
      <c r="R5" s="651"/>
      <c r="S5" s="651"/>
      <c r="T5" s="651"/>
      <c r="U5" s="651"/>
      <c r="V5" s="619"/>
      <c r="W5" s="619"/>
      <c r="X5" s="619"/>
      <c r="Y5" s="619"/>
      <c r="Z5" s="619"/>
      <c r="AA5" s="619"/>
      <c r="AB5" s="619"/>
      <c r="AC5" s="619"/>
      <c r="AD5" s="619"/>
      <c r="AE5" s="619"/>
      <c r="AF5" s="619"/>
      <c r="AG5" s="619"/>
      <c r="AH5" s="619"/>
      <c r="AI5" s="619"/>
      <c r="AJ5" s="619"/>
      <c r="AK5" s="619"/>
      <c r="AL5" s="507"/>
      <c r="AM5" s="507"/>
      <c r="AN5" s="507"/>
      <c r="AO5" s="507"/>
      <c r="AP5" s="507"/>
      <c r="AQ5" s="507"/>
      <c r="AR5" s="507"/>
      <c r="AS5" s="507"/>
    </row>
    <row r="6" spans="1:52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728"/>
      <c r="L6" s="728"/>
      <c r="M6" s="728"/>
      <c r="N6" s="646"/>
      <c r="O6" s="646"/>
      <c r="P6" s="646"/>
      <c r="Q6" s="646"/>
      <c r="R6" s="646"/>
      <c r="S6" s="646"/>
      <c r="T6" s="646"/>
      <c r="U6" s="646"/>
      <c r="V6" s="615"/>
      <c r="W6" s="615"/>
      <c r="X6" s="615"/>
      <c r="Y6" s="615"/>
      <c r="Z6" s="615"/>
      <c r="AA6" s="615"/>
      <c r="AB6" s="615"/>
      <c r="AC6" s="615"/>
      <c r="AD6" s="615"/>
      <c r="AE6" s="615"/>
      <c r="AF6" s="615"/>
      <c r="AG6" s="615"/>
      <c r="AH6" s="615"/>
      <c r="AI6" s="615"/>
      <c r="AJ6" s="615"/>
      <c r="AK6" s="615"/>
      <c r="AL6" s="501"/>
      <c r="AM6" s="501"/>
      <c r="AN6" s="501"/>
      <c r="AO6" s="501"/>
      <c r="AP6" s="501"/>
      <c r="AQ6" s="501"/>
      <c r="AR6" s="501"/>
      <c r="AS6" s="501"/>
    </row>
    <row r="7" spans="1:52" ht="0.75" customHeight="1"/>
    <row r="8" spans="1:52">
      <c r="A8" s="850" t="s">
        <v>922</v>
      </c>
      <c r="B8" s="850"/>
      <c r="C8" s="32"/>
      <c r="H8" s="922" t="s">
        <v>782</v>
      </c>
      <c r="I8" s="922"/>
      <c r="J8" s="922"/>
      <c r="K8" s="732"/>
      <c r="L8" s="732"/>
      <c r="M8" s="732"/>
      <c r="N8" s="649"/>
      <c r="O8" s="649"/>
      <c r="P8" s="649"/>
      <c r="Q8" s="649"/>
      <c r="R8" s="649"/>
      <c r="S8" s="649"/>
      <c r="T8" s="649"/>
      <c r="U8" s="649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504"/>
      <c r="AM8" s="504"/>
      <c r="AN8" s="504"/>
      <c r="AO8" s="504"/>
      <c r="AP8" s="504"/>
      <c r="AQ8" s="504"/>
      <c r="AR8" s="504"/>
      <c r="AS8" s="504"/>
    </row>
    <row r="9" spans="1:52">
      <c r="A9" s="844" t="s">
        <v>2</v>
      </c>
      <c r="B9" s="844" t="s">
        <v>3</v>
      </c>
      <c r="C9" s="825" t="s">
        <v>752</v>
      </c>
      <c r="D9" s="856"/>
      <c r="E9" s="856"/>
      <c r="F9" s="826"/>
      <c r="G9" s="825" t="s">
        <v>108</v>
      </c>
      <c r="H9" s="856"/>
      <c r="I9" s="856"/>
      <c r="J9" s="826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Y9" s="19"/>
      <c r="AZ9" s="22"/>
    </row>
    <row r="10" spans="1:52" ht="63.75">
      <c r="A10" s="844"/>
      <c r="B10" s="844"/>
      <c r="C10" s="5" t="s">
        <v>187</v>
      </c>
      <c r="D10" s="5" t="s">
        <v>17</v>
      </c>
      <c r="E10" s="279" t="s">
        <v>783</v>
      </c>
      <c r="F10" s="7" t="s">
        <v>204</v>
      </c>
      <c r="G10" s="5" t="s">
        <v>187</v>
      </c>
      <c r="H10" s="26" t="s">
        <v>18</v>
      </c>
      <c r="I10" s="112" t="s">
        <v>872</v>
      </c>
      <c r="J10" s="5" t="s">
        <v>873</v>
      </c>
      <c r="K10" s="127"/>
      <c r="L10" s="127"/>
      <c r="M10" s="127"/>
      <c r="N10" s="127"/>
      <c r="O10" s="127" t="s">
        <v>1049</v>
      </c>
      <c r="P10" s="127" t="s">
        <v>1050</v>
      </c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</row>
    <row r="11" spans="1:5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</row>
    <row r="12" spans="1:52" ht="15">
      <c r="A12" s="421">
        <v>1</v>
      </c>
      <c r="B12" s="385" t="s">
        <v>889</v>
      </c>
      <c r="C12" s="454">
        <v>1166</v>
      </c>
      <c r="D12" s="454">
        <v>55866</v>
      </c>
      <c r="E12" s="445">
        <v>232</v>
      </c>
      <c r="F12" s="445">
        <f>D12*E12</f>
        <v>12960912</v>
      </c>
      <c r="G12" s="386">
        <v>1165</v>
      </c>
      <c r="H12" s="29">
        <v>12904536</v>
      </c>
      <c r="I12" s="459">
        <v>232</v>
      </c>
      <c r="J12" s="29">
        <f>H12/I12</f>
        <v>55623</v>
      </c>
      <c r="K12" s="22">
        <f>D12-J12</f>
        <v>243</v>
      </c>
      <c r="L12" s="561">
        <f>J12/D12*100</f>
        <v>99.565030608957144</v>
      </c>
      <c r="M12" s="550">
        <f>34224/34183*G12</f>
        <v>1166.3973320071379</v>
      </c>
      <c r="N12" s="561">
        <f>D12*E12*3.91/100000</f>
        <v>506.77165920000004</v>
      </c>
      <c r="O12" s="561">
        <f>E12*D12*2.6/100000</f>
        <v>336.98371200000003</v>
      </c>
      <c r="P12" s="561"/>
      <c r="Q12" s="561">
        <f>N12+'T5C_Drought_PLAN_vs_PRFM  (2)'!K12</f>
        <v>506.77165920000004</v>
      </c>
      <c r="R12" s="561">
        <f>O12+'T5C_Drought_PLAN_vs_PRFM  (2)'!L12</f>
        <v>336.98371200000003</v>
      </c>
      <c r="S12" s="561"/>
      <c r="T12" s="22"/>
      <c r="U12" s="22"/>
      <c r="V12" s="22"/>
      <c r="W12" s="22"/>
      <c r="X12" s="561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>
        <f>H12*150/1000000</f>
        <v>1935.6804</v>
      </c>
      <c r="AM12" s="22">
        <f>H12*6.13/100000</f>
        <v>791.04805679999993</v>
      </c>
      <c r="AN12" s="22"/>
      <c r="AO12" s="22">
        <f>I12*J12</f>
        <v>12904536</v>
      </c>
      <c r="AP12" s="22">
        <v>55623</v>
      </c>
      <c r="AQ12" s="22">
        <f>AP12*232</f>
        <v>12904536</v>
      </c>
      <c r="AR12" s="22">
        <f>AQ12*150/1000000</f>
        <v>1935.6804</v>
      </c>
      <c r="AS12" s="22">
        <f>AT12-AR12</f>
        <v>47.08159999999998</v>
      </c>
      <c r="AT12" s="15">
        <v>1982.7619999999999</v>
      </c>
      <c r="AU12" s="464">
        <f>AV12-AT12</f>
        <v>-38.62519999999995</v>
      </c>
      <c r="AV12" s="464">
        <f t="shared" ref="AV12:AV44" si="0">F12*150/1000000</f>
        <v>1944.1368</v>
      </c>
    </row>
    <row r="13" spans="1:52" ht="15">
      <c r="A13" s="421">
        <v>2</v>
      </c>
      <c r="B13" s="385" t="s">
        <v>890</v>
      </c>
      <c r="C13" s="454">
        <v>1801</v>
      </c>
      <c r="D13" s="454">
        <v>80221</v>
      </c>
      <c r="E13" s="445">
        <v>232</v>
      </c>
      <c r="F13" s="445">
        <f t="shared" ref="F13:F44" si="1">D13*E13</f>
        <v>18611272</v>
      </c>
      <c r="G13" s="386">
        <v>1799</v>
      </c>
      <c r="H13" s="29">
        <v>18162816</v>
      </c>
      <c r="I13" s="459">
        <v>232</v>
      </c>
      <c r="J13" s="29">
        <f t="shared" ref="J13:J45" si="2">H13/I13</f>
        <v>78288</v>
      </c>
      <c r="K13" s="22">
        <f t="shared" ref="K13:K45" si="3">D13-J13</f>
        <v>1933</v>
      </c>
      <c r="L13" s="561">
        <f t="shared" ref="L13:L45" si="4">J13/D13*100</f>
        <v>97.590406502038121</v>
      </c>
      <c r="M13" s="550">
        <f t="shared" ref="M13:M45" si="5">34224/34183*G13</f>
        <v>1801.1577684814088</v>
      </c>
      <c r="N13" s="561">
        <f t="shared" ref="N13:N44" si="6">D13*E13*3.91/100000</f>
        <v>727.70073519999994</v>
      </c>
      <c r="O13" s="561">
        <f t="shared" ref="O13:O44" si="7">E13*D13*2.6/100000</f>
        <v>483.89307200000002</v>
      </c>
      <c r="P13" s="561"/>
      <c r="Q13" s="561">
        <f>N13+'T5C_Drought_PLAN_vs_PRFM  (2)'!K13</f>
        <v>727.70073519999994</v>
      </c>
      <c r="R13" s="561">
        <f>O13+'T5C_Drought_PLAN_vs_PRFM  (2)'!L13</f>
        <v>483.89307200000002</v>
      </c>
      <c r="S13" s="561"/>
      <c r="T13" s="22"/>
      <c r="U13" s="22"/>
      <c r="V13" s="22"/>
      <c r="W13" s="22"/>
      <c r="X13" s="561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f t="shared" ref="AL13:AL45" si="8">H13*150/1000000</f>
        <v>2724.4223999999999</v>
      </c>
      <c r="AM13" s="22">
        <f t="shared" ref="AM13:AM45" si="9">H13*6.13/100000</f>
        <v>1113.3806208000001</v>
      </c>
      <c r="AN13" s="22"/>
      <c r="AO13" s="22">
        <f t="shared" ref="AO13:AO45" si="10">I13*J13</f>
        <v>18162816</v>
      </c>
      <c r="AP13" s="22">
        <v>78288</v>
      </c>
      <c r="AQ13" s="22">
        <f t="shared" ref="AQ13:AQ44" si="11">AP13*232</f>
        <v>18162816</v>
      </c>
      <c r="AR13" s="22">
        <f t="shared" ref="AR13:AR44" si="12">AQ13*150/1000000</f>
        <v>2724.4223999999999</v>
      </c>
      <c r="AS13" s="22">
        <f t="shared" ref="AS13:AS45" si="13">AT13-AR13</f>
        <v>28.336600000000089</v>
      </c>
      <c r="AT13" s="15">
        <v>2752.759</v>
      </c>
      <c r="AU13" s="464">
        <f t="shared" ref="AU13:AU44" si="14">AV13-AT13</f>
        <v>38.931799999999839</v>
      </c>
      <c r="AV13" s="464">
        <f t="shared" si="0"/>
        <v>2791.6907999999999</v>
      </c>
      <c r="AX13" s="480"/>
    </row>
    <row r="14" spans="1:52" ht="15">
      <c r="A14" s="421">
        <v>3</v>
      </c>
      <c r="B14" s="385" t="s">
        <v>891</v>
      </c>
      <c r="C14" s="454">
        <v>962</v>
      </c>
      <c r="D14" s="454">
        <v>86686</v>
      </c>
      <c r="E14" s="445">
        <v>232</v>
      </c>
      <c r="F14" s="445">
        <f t="shared" si="1"/>
        <v>20111152</v>
      </c>
      <c r="G14" s="386">
        <v>961</v>
      </c>
      <c r="H14" s="29">
        <v>20170080</v>
      </c>
      <c r="I14" s="459">
        <v>232</v>
      </c>
      <c r="J14" s="29">
        <f t="shared" si="2"/>
        <v>86940</v>
      </c>
      <c r="K14" s="22">
        <f t="shared" si="3"/>
        <v>-254</v>
      </c>
      <c r="L14" s="561">
        <f t="shared" si="4"/>
        <v>100.29301155895993</v>
      </c>
      <c r="M14" s="550">
        <f t="shared" si="5"/>
        <v>962.15264897756185</v>
      </c>
      <c r="N14" s="561">
        <f t="shared" si="6"/>
        <v>786.34604320000005</v>
      </c>
      <c r="O14" s="561">
        <f t="shared" si="7"/>
        <v>522.88995199999999</v>
      </c>
      <c r="P14" s="561"/>
      <c r="Q14" s="561">
        <f>N14+'T5C_Drought_PLAN_vs_PRFM  (2)'!K14</f>
        <v>786.34604320000005</v>
      </c>
      <c r="R14" s="561">
        <f>O14+'T5C_Drought_PLAN_vs_PRFM  (2)'!L14</f>
        <v>522.88995199999999</v>
      </c>
      <c r="S14" s="561"/>
      <c r="T14" s="22"/>
      <c r="U14" s="22"/>
      <c r="V14" s="22"/>
      <c r="W14" s="22"/>
      <c r="X14" s="561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>
        <f t="shared" si="8"/>
        <v>3025.5120000000002</v>
      </c>
      <c r="AM14" s="22">
        <f t="shared" si="9"/>
        <v>1236.4259039999999</v>
      </c>
      <c r="AN14" s="22"/>
      <c r="AO14" s="22">
        <f t="shared" si="10"/>
        <v>20170080</v>
      </c>
      <c r="AP14" s="22">
        <v>44440</v>
      </c>
      <c r="AQ14" s="22">
        <f t="shared" si="11"/>
        <v>10310080</v>
      </c>
      <c r="AR14" s="22">
        <f t="shared" si="12"/>
        <v>1546.5119999999999</v>
      </c>
      <c r="AS14" s="22">
        <f t="shared" si="13"/>
        <v>86.603999999999814</v>
      </c>
      <c r="AT14" s="15">
        <v>1633.1159999999998</v>
      </c>
      <c r="AU14" s="464">
        <f t="shared" si="14"/>
        <v>1383.5568000000001</v>
      </c>
      <c r="AV14" s="464">
        <f t="shared" si="0"/>
        <v>3016.6727999999998</v>
      </c>
      <c r="AX14" s="480"/>
    </row>
    <row r="15" spans="1:52" ht="15">
      <c r="A15" s="421">
        <v>4</v>
      </c>
      <c r="B15" s="385" t="s">
        <v>892</v>
      </c>
      <c r="C15" s="454">
        <v>703</v>
      </c>
      <c r="D15" s="454">
        <v>32414</v>
      </c>
      <c r="E15" s="445">
        <v>232</v>
      </c>
      <c r="F15" s="445">
        <f t="shared" si="1"/>
        <v>7520048</v>
      </c>
      <c r="G15" s="386">
        <v>702</v>
      </c>
      <c r="H15" s="29">
        <v>7486872</v>
      </c>
      <c r="I15" s="459">
        <v>232</v>
      </c>
      <c r="J15" s="29">
        <f t="shared" si="2"/>
        <v>32271</v>
      </c>
      <c r="K15" s="22">
        <f t="shared" si="3"/>
        <v>143</v>
      </c>
      <c r="L15" s="561">
        <f t="shared" si="4"/>
        <v>99.558832603196151</v>
      </c>
      <c r="M15" s="550">
        <f t="shared" si="5"/>
        <v>702.84199748412948</v>
      </c>
      <c r="N15" s="561">
        <f t="shared" si="6"/>
        <v>294.03387679999997</v>
      </c>
      <c r="O15" s="561">
        <f t="shared" si="7"/>
        <v>195.52124800000001</v>
      </c>
      <c r="P15" s="561"/>
      <c r="Q15" s="561">
        <f>N15+'T5C_Drought_PLAN_vs_PRFM  (2)'!K15</f>
        <v>294.03387679999997</v>
      </c>
      <c r="R15" s="561">
        <f>O15+'T5C_Drought_PLAN_vs_PRFM  (2)'!L15</f>
        <v>195.52124800000001</v>
      </c>
      <c r="S15" s="561"/>
      <c r="T15" s="22"/>
      <c r="U15" s="22"/>
      <c r="V15" s="22"/>
      <c r="W15" s="22"/>
      <c r="X15" s="561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f t="shared" si="8"/>
        <v>1123.0308</v>
      </c>
      <c r="AM15" s="22">
        <f t="shared" si="9"/>
        <v>458.9452536</v>
      </c>
      <c r="AN15" s="22"/>
      <c r="AO15" s="22">
        <f t="shared" si="10"/>
        <v>7486872</v>
      </c>
      <c r="AP15" s="22">
        <v>62271</v>
      </c>
      <c r="AQ15" s="22">
        <f t="shared" si="11"/>
        <v>14446872</v>
      </c>
      <c r="AR15" s="22">
        <f t="shared" si="12"/>
        <v>2167.0308</v>
      </c>
      <c r="AS15" s="22">
        <f t="shared" si="13"/>
        <v>12.602199999999812</v>
      </c>
      <c r="AT15" s="15">
        <v>2179.6329999999998</v>
      </c>
      <c r="AU15" s="464">
        <f t="shared" si="14"/>
        <v>-1051.6257999999998</v>
      </c>
      <c r="AV15" s="464">
        <f t="shared" si="0"/>
        <v>1128.0072</v>
      </c>
      <c r="AX15" s="480"/>
    </row>
    <row r="16" spans="1:52" ht="15">
      <c r="A16" s="421">
        <v>5</v>
      </c>
      <c r="B16" s="385" t="s">
        <v>893</v>
      </c>
      <c r="C16" s="454">
        <v>1855</v>
      </c>
      <c r="D16" s="454">
        <v>104387</v>
      </c>
      <c r="E16" s="445">
        <v>232</v>
      </c>
      <c r="F16" s="445">
        <f t="shared" si="1"/>
        <v>24217784</v>
      </c>
      <c r="G16" s="386">
        <v>1853</v>
      </c>
      <c r="H16" s="29">
        <v>24059560</v>
      </c>
      <c r="I16" s="459">
        <v>232</v>
      </c>
      <c r="J16" s="29">
        <f t="shared" si="2"/>
        <v>103705</v>
      </c>
      <c r="K16" s="22">
        <f t="shared" si="3"/>
        <v>682</v>
      </c>
      <c r="L16" s="561">
        <f t="shared" si="4"/>
        <v>99.346661940663111</v>
      </c>
      <c r="M16" s="550">
        <f t="shared" si="5"/>
        <v>1855.2225375186495</v>
      </c>
      <c r="N16" s="561">
        <f t="shared" si="6"/>
        <v>946.91535439999996</v>
      </c>
      <c r="O16" s="561">
        <f t="shared" si="7"/>
        <v>629.66238399999997</v>
      </c>
      <c r="P16" s="561"/>
      <c r="Q16" s="561">
        <f>N16+'T5C_Drought_PLAN_vs_PRFM  (2)'!K16</f>
        <v>1087.3017543999999</v>
      </c>
      <c r="R16" s="561">
        <f>O16+'T5C_Drought_PLAN_vs_PRFM  (2)'!L16</f>
        <v>723.12718399999994</v>
      </c>
      <c r="S16" s="561"/>
      <c r="T16" s="22"/>
      <c r="U16" s="22"/>
      <c r="V16" s="22"/>
      <c r="W16" s="22"/>
      <c r="X16" s="561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>
        <f t="shared" si="8"/>
        <v>3608.9340000000002</v>
      </c>
      <c r="AM16" s="22">
        <f t="shared" si="9"/>
        <v>1474.851028</v>
      </c>
      <c r="AN16" s="22"/>
      <c r="AO16" s="22">
        <f t="shared" si="10"/>
        <v>24059560</v>
      </c>
      <c r="AP16" s="22">
        <v>103705</v>
      </c>
      <c r="AQ16" s="22">
        <f t="shared" si="11"/>
        <v>24059560</v>
      </c>
      <c r="AR16" s="22">
        <f t="shared" si="12"/>
        <v>3608.9340000000002</v>
      </c>
      <c r="AS16" s="22">
        <f t="shared" si="13"/>
        <v>39.151000000000295</v>
      </c>
      <c r="AT16" s="15">
        <v>3648.0850000000005</v>
      </c>
      <c r="AU16" s="464">
        <f t="shared" si="14"/>
        <v>-15.417400000000271</v>
      </c>
      <c r="AV16" s="464">
        <f t="shared" si="0"/>
        <v>3632.6676000000002</v>
      </c>
      <c r="AX16" s="480"/>
    </row>
    <row r="17" spans="1:50" ht="15">
      <c r="A17" s="421">
        <v>6</v>
      </c>
      <c r="B17" s="385" t="s">
        <v>894</v>
      </c>
      <c r="C17" s="454">
        <v>1110</v>
      </c>
      <c r="D17" s="454">
        <v>51691</v>
      </c>
      <c r="E17" s="445">
        <v>232</v>
      </c>
      <c r="F17" s="445">
        <f t="shared" si="1"/>
        <v>11992312</v>
      </c>
      <c r="G17" s="386">
        <v>1109</v>
      </c>
      <c r="H17" s="29">
        <v>11970504</v>
      </c>
      <c r="I17" s="459">
        <v>232</v>
      </c>
      <c r="J17" s="29">
        <f t="shared" si="2"/>
        <v>51597</v>
      </c>
      <c r="K17" s="22">
        <f t="shared" si="3"/>
        <v>94</v>
      </c>
      <c r="L17" s="561">
        <f t="shared" si="4"/>
        <v>99.818150161536821</v>
      </c>
      <c r="M17" s="550">
        <f t="shared" si="5"/>
        <v>1110.3301641166661</v>
      </c>
      <c r="N17" s="561">
        <f t="shared" si="6"/>
        <v>468.8993992</v>
      </c>
      <c r="O17" s="561">
        <f t="shared" si="7"/>
        <v>311.80011200000001</v>
      </c>
      <c r="P17" s="561"/>
      <c r="Q17" s="561">
        <f>N17+'T5C_Drought_PLAN_vs_PRFM  (2)'!K17</f>
        <v>468.8993992</v>
      </c>
      <c r="R17" s="561">
        <f>O17+'T5C_Drought_PLAN_vs_PRFM  (2)'!L17</f>
        <v>311.80011200000001</v>
      </c>
      <c r="S17" s="561"/>
      <c r="T17" s="22"/>
      <c r="U17" s="22"/>
      <c r="V17" s="22"/>
      <c r="W17" s="22"/>
      <c r="X17" s="561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f t="shared" si="8"/>
        <v>1795.5755999999999</v>
      </c>
      <c r="AM17" s="22">
        <f t="shared" si="9"/>
        <v>733.7918952</v>
      </c>
      <c r="AN17" s="22"/>
      <c r="AO17" s="22">
        <f t="shared" si="10"/>
        <v>11970504</v>
      </c>
      <c r="AP17" s="22">
        <v>51597</v>
      </c>
      <c r="AQ17" s="22">
        <f t="shared" si="11"/>
        <v>11970504</v>
      </c>
      <c r="AR17" s="22">
        <f t="shared" si="12"/>
        <v>1795.5755999999999</v>
      </c>
      <c r="AS17" s="22">
        <f t="shared" si="13"/>
        <v>30.921399999999949</v>
      </c>
      <c r="AT17" s="15">
        <v>1826.4969999999998</v>
      </c>
      <c r="AU17" s="464">
        <f t="shared" si="14"/>
        <v>-27.650199999999813</v>
      </c>
      <c r="AV17" s="464">
        <f t="shared" si="0"/>
        <v>1798.8468</v>
      </c>
      <c r="AX17" s="480"/>
    </row>
    <row r="18" spans="1:50" ht="15">
      <c r="A18" s="421">
        <v>7</v>
      </c>
      <c r="B18" s="385" t="s">
        <v>895</v>
      </c>
      <c r="C18" s="454">
        <v>1498</v>
      </c>
      <c r="D18" s="454">
        <v>77648</v>
      </c>
      <c r="E18" s="445">
        <v>232</v>
      </c>
      <c r="F18" s="445">
        <f t="shared" si="1"/>
        <v>18014336</v>
      </c>
      <c r="G18" s="386">
        <v>1496</v>
      </c>
      <c r="H18" s="29">
        <v>18090200</v>
      </c>
      <c r="I18" s="459">
        <v>232</v>
      </c>
      <c r="J18" s="29">
        <f t="shared" si="2"/>
        <v>77975</v>
      </c>
      <c r="K18" s="22">
        <f t="shared" si="3"/>
        <v>-327</v>
      </c>
      <c r="L18" s="561">
        <f t="shared" si="4"/>
        <v>100.42113125901504</v>
      </c>
      <c r="M18" s="550">
        <f t="shared" si="5"/>
        <v>1497.7943422168912</v>
      </c>
      <c r="N18" s="561">
        <f t="shared" si="6"/>
        <v>704.36053760000004</v>
      </c>
      <c r="O18" s="561">
        <f t="shared" si="7"/>
        <v>468.37273600000003</v>
      </c>
      <c r="P18" s="561"/>
      <c r="Q18" s="561">
        <f>N18+'T5C_Drought_PLAN_vs_PRFM  (2)'!K18</f>
        <v>751.77433760000008</v>
      </c>
      <c r="R18" s="561">
        <f>O18+'T5C_Drought_PLAN_vs_PRFM  (2)'!L18</f>
        <v>499.93933600000003</v>
      </c>
      <c r="S18" s="561"/>
      <c r="T18" s="22"/>
      <c r="U18" s="22"/>
      <c r="V18" s="22"/>
      <c r="W18" s="22"/>
      <c r="X18" s="56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>
        <f t="shared" si="8"/>
        <v>2713.53</v>
      </c>
      <c r="AM18" s="22">
        <f t="shared" si="9"/>
        <v>1108.9292600000001</v>
      </c>
      <c r="AN18" s="22"/>
      <c r="AO18" s="22">
        <f t="shared" si="10"/>
        <v>18090200</v>
      </c>
      <c r="AP18" s="22">
        <v>77975</v>
      </c>
      <c r="AQ18" s="22">
        <f t="shared" si="11"/>
        <v>18090200</v>
      </c>
      <c r="AR18" s="22">
        <f t="shared" si="12"/>
        <v>2713.53</v>
      </c>
      <c r="AS18" s="22">
        <f t="shared" si="13"/>
        <v>16.076999999999771</v>
      </c>
      <c r="AT18" s="15">
        <v>2729.607</v>
      </c>
      <c r="AU18" s="464">
        <f t="shared" si="14"/>
        <v>-27.45659999999998</v>
      </c>
      <c r="AV18" s="464">
        <f t="shared" si="0"/>
        <v>2702.1504</v>
      </c>
      <c r="AX18" s="480"/>
    </row>
    <row r="19" spans="1:50" ht="15">
      <c r="A19" s="421">
        <v>8</v>
      </c>
      <c r="B19" s="385" t="s">
        <v>896</v>
      </c>
      <c r="C19" s="454">
        <v>866</v>
      </c>
      <c r="D19" s="454">
        <v>46004</v>
      </c>
      <c r="E19" s="445">
        <v>232</v>
      </c>
      <c r="F19" s="445">
        <f t="shared" si="1"/>
        <v>10672928</v>
      </c>
      <c r="G19" s="386">
        <v>865</v>
      </c>
      <c r="H19" s="29">
        <v>10672696</v>
      </c>
      <c r="I19" s="459">
        <v>232</v>
      </c>
      <c r="J19" s="29">
        <f t="shared" si="2"/>
        <v>46003</v>
      </c>
      <c r="K19" s="22">
        <f t="shared" si="3"/>
        <v>1</v>
      </c>
      <c r="L19" s="561">
        <f t="shared" si="4"/>
        <v>99.997826275975996</v>
      </c>
      <c r="M19" s="550">
        <f t="shared" si="5"/>
        <v>866.03750402246726</v>
      </c>
      <c r="N19" s="561">
        <f t="shared" si="6"/>
        <v>417.31148480000002</v>
      </c>
      <c r="O19" s="561">
        <f t="shared" si="7"/>
        <v>277.496128</v>
      </c>
      <c r="P19" s="561"/>
      <c r="Q19" s="561">
        <f>N19+'T5C_Drought_PLAN_vs_PRFM  (2)'!K19</f>
        <v>424.28628480000003</v>
      </c>
      <c r="R19" s="561">
        <f>O19+'T5C_Drought_PLAN_vs_PRFM  (2)'!L19</f>
        <v>282.13972799999999</v>
      </c>
      <c r="S19" s="561"/>
      <c r="T19" s="22"/>
      <c r="U19" s="22"/>
      <c r="V19" s="22"/>
      <c r="W19" s="22"/>
      <c r="X19" s="561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f t="shared" si="8"/>
        <v>1600.9043999999999</v>
      </c>
      <c r="AM19" s="22">
        <f t="shared" si="9"/>
        <v>654.23626479999996</v>
      </c>
      <c r="AN19" s="22"/>
      <c r="AO19" s="22">
        <f t="shared" si="10"/>
        <v>10672696</v>
      </c>
      <c r="AP19" s="22">
        <v>46003</v>
      </c>
      <c r="AQ19" s="22">
        <f t="shared" si="11"/>
        <v>10672696</v>
      </c>
      <c r="AR19" s="22">
        <f t="shared" si="12"/>
        <v>1600.9043999999999</v>
      </c>
      <c r="AS19" s="22">
        <f t="shared" si="13"/>
        <v>35.628600000000461</v>
      </c>
      <c r="AT19" s="15">
        <v>1636.5330000000004</v>
      </c>
      <c r="AU19" s="464">
        <f t="shared" si="14"/>
        <v>-35.593800000000329</v>
      </c>
      <c r="AV19" s="464">
        <f t="shared" si="0"/>
        <v>1600.9392</v>
      </c>
      <c r="AX19" s="480"/>
    </row>
    <row r="20" spans="1:50" ht="15">
      <c r="A20" s="421">
        <v>9</v>
      </c>
      <c r="B20" s="385" t="s">
        <v>897</v>
      </c>
      <c r="C20" s="454">
        <v>641</v>
      </c>
      <c r="D20" s="454">
        <v>32781</v>
      </c>
      <c r="E20" s="445">
        <v>232</v>
      </c>
      <c r="F20" s="445">
        <f t="shared" si="1"/>
        <v>7605192</v>
      </c>
      <c r="G20" s="386">
        <v>640</v>
      </c>
      <c r="H20" s="29">
        <v>7721888</v>
      </c>
      <c r="I20" s="459">
        <v>232</v>
      </c>
      <c r="J20" s="29">
        <f t="shared" si="2"/>
        <v>33284</v>
      </c>
      <c r="K20" s="22">
        <f t="shared" si="3"/>
        <v>-503</v>
      </c>
      <c r="L20" s="561">
        <f t="shared" si="4"/>
        <v>101.53442542936457</v>
      </c>
      <c r="M20" s="550">
        <f t="shared" si="5"/>
        <v>640.76763303396422</v>
      </c>
      <c r="N20" s="561">
        <f t="shared" si="6"/>
        <v>297.36300720000003</v>
      </c>
      <c r="O20" s="561">
        <f t="shared" si="7"/>
        <v>197.73499200000001</v>
      </c>
      <c r="P20" s="561"/>
      <c r="Q20" s="561">
        <f>N20+'T5C_Drought_PLAN_vs_PRFM  (2)'!K20</f>
        <v>297.36300720000003</v>
      </c>
      <c r="R20" s="561">
        <f>O20+'T5C_Drought_PLAN_vs_PRFM  (2)'!L20</f>
        <v>197.73499200000001</v>
      </c>
      <c r="S20" s="561"/>
      <c r="T20" s="22"/>
      <c r="U20" s="22"/>
      <c r="V20" s="22"/>
      <c r="W20" s="22"/>
      <c r="X20" s="561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>
        <f t="shared" si="8"/>
        <v>1158.2832000000001</v>
      </c>
      <c r="AM20" s="22">
        <f t="shared" si="9"/>
        <v>473.3517344</v>
      </c>
      <c r="AN20" s="22"/>
      <c r="AO20" s="22">
        <f t="shared" si="10"/>
        <v>7721888</v>
      </c>
      <c r="AP20" s="22">
        <v>33284</v>
      </c>
      <c r="AQ20" s="22">
        <f t="shared" si="11"/>
        <v>7721888</v>
      </c>
      <c r="AR20" s="22">
        <f t="shared" si="12"/>
        <v>1158.2832000000001</v>
      </c>
      <c r="AS20" s="22">
        <f t="shared" si="13"/>
        <v>51.903800000000047</v>
      </c>
      <c r="AT20" s="15">
        <v>1210.1870000000001</v>
      </c>
      <c r="AU20" s="464">
        <f t="shared" si="14"/>
        <v>-69.408200000000079</v>
      </c>
      <c r="AV20" s="464">
        <f t="shared" si="0"/>
        <v>1140.7788</v>
      </c>
      <c r="AX20" s="480"/>
    </row>
    <row r="21" spans="1:50" ht="15">
      <c r="A21" s="421">
        <v>10</v>
      </c>
      <c r="B21" s="385" t="s">
        <v>898</v>
      </c>
      <c r="C21" s="454">
        <v>1046</v>
      </c>
      <c r="D21" s="454">
        <v>45702</v>
      </c>
      <c r="E21" s="445">
        <v>232</v>
      </c>
      <c r="F21" s="445">
        <f t="shared" si="1"/>
        <v>10602864</v>
      </c>
      <c r="G21" s="386">
        <v>1045</v>
      </c>
      <c r="H21" s="29">
        <v>10659240</v>
      </c>
      <c r="I21" s="459">
        <v>232</v>
      </c>
      <c r="J21" s="29">
        <f t="shared" si="2"/>
        <v>45945</v>
      </c>
      <c r="K21" s="22">
        <f t="shared" si="3"/>
        <v>-243</v>
      </c>
      <c r="L21" s="561">
        <f t="shared" si="4"/>
        <v>100.53170539582513</v>
      </c>
      <c r="M21" s="550">
        <f t="shared" si="5"/>
        <v>1046.2534008132698</v>
      </c>
      <c r="N21" s="561">
        <f t="shared" si="6"/>
        <v>414.57198240000002</v>
      </c>
      <c r="O21" s="561">
        <f t="shared" si="7"/>
        <v>275.674464</v>
      </c>
      <c r="P21" s="561"/>
      <c r="Q21" s="561">
        <f>N21+'T5C_Drought_PLAN_vs_PRFM  (2)'!K21</f>
        <v>414.57198240000002</v>
      </c>
      <c r="R21" s="561">
        <f>O21+'T5C_Drought_PLAN_vs_PRFM  (2)'!L21</f>
        <v>275.674464</v>
      </c>
      <c r="S21" s="561"/>
      <c r="T21" s="22"/>
      <c r="U21" s="22"/>
      <c r="V21" s="22"/>
      <c r="W21" s="22"/>
      <c r="X21" s="56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f t="shared" si="8"/>
        <v>1598.886</v>
      </c>
      <c r="AM21" s="22">
        <f t="shared" si="9"/>
        <v>653.41141199999993</v>
      </c>
      <c r="AN21" s="22"/>
      <c r="AO21" s="22">
        <f t="shared" si="10"/>
        <v>10659240</v>
      </c>
      <c r="AP21" s="22">
        <v>45945</v>
      </c>
      <c r="AQ21" s="22">
        <f t="shared" si="11"/>
        <v>10659240</v>
      </c>
      <c r="AR21" s="22">
        <f t="shared" si="12"/>
        <v>1598.886</v>
      </c>
      <c r="AS21" s="22">
        <f t="shared" si="13"/>
        <v>30.583000000000084</v>
      </c>
      <c r="AT21" s="15">
        <v>1629.4690000000001</v>
      </c>
      <c r="AU21" s="464">
        <f t="shared" si="14"/>
        <v>-39.039400000000114</v>
      </c>
      <c r="AV21" s="464">
        <f t="shared" si="0"/>
        <v>1590.4295999999999</v>
      </c>
      <c r="AX21" s="480"/>
    </row>
    <row r="22" spans="1:50" ht="15">
      <c r="A22" s="421">
        <v>11</v>
      </c>
      <c r="B22" s="385" t="s">
        <v>899</v>
      </c>
      <c r="C22" s="454">
        <v>1025</v>
      </c>
      <c r="D22" s="454">
        <v>49138</v>
      </c>
      <c r="E22" s="445">
        <v>232</v>
      </c>
      <c r="F22" s="445">
        <f t="shared" si="1"/>
        <v>11400016</v>
      </c>
      <c r="G22" s="386">
        <v>1024</v>
      </c>
      <c r="H22" s="29">
        <v>11489104</v>
      </c>
      <c r="I22" s="459">
        <v>232</v>
      </c>
      <c r="J22" s="29">
        <f t="shared" si="2"/>
        <v>49522</v>
      </c>
      <c r="K22" s="22">
        <f t="shared" si="3"/>
        <v>-384</v>
      </c>
      <c r="L22" s="561">
        <f t="shared" si="4"/>
        <v>100.78147258740688</v>
      </c>
      <c r="M22" s="550">
        <f t="shared" si="5"/>
        <v>1025.2282128543427</v>
      </c>
      <c r="N22" s="561">
        <f t="shared" si="6"/>
        <v>445.74062560000004</v>
      </c>
      <c r="O22" s="561">
        <f t="shared" si="7"/>
        <v>296.40041600000001</v>
      </c>
      <c r="P22" s="561"/>
      <c r="Q22" s="561">
        <f>N22+'T5C_Drought_PLAN_vs_PRFM  (2)'!K22</f>
        <v>460.95162560000006</v>
      </c>
      <c r="R22" s="561">
        <f>O22+'T5C_Drought_PLAN_vs_PRFM  (2)'!L22</f>
        <v>306.52741600000002</v>
      </c>
      <c r="S22" s="561"/>
      <c r="T22" s="22"/>
      <c r="U22" s="22"/>
      <c r="V22" s="22"/>
      <c r="W22" s="22"/>
      <c r="X22" s="561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f t="shared" si="8"/>
        <v>1723.3656000000001</v>
      </c>
      <c r="AM22" s="22">
        <f t="shared" si="9"/>
        <v>704.28207520000001</v>
      </c>
      <c r="AN22" s="22"/>
      <c r="AO22" s="22">
        <f t="shared" si="10"/>
        <v>11489104</v>
      </c>
      <c r="AP22" s="22">
        <v>49522</v>
      </c>
      <c r="AQ22" s="22">
        <f t="shared" si="11"/>
        <v>11489104</v>
      </c>
      <c r="AR22" s="22">
        <f t="shared" si="12"/>
        <v>1723.3656000000001</v>
      </c>
      <c r="AS22" s="22">
        <f t="shared" si="13"/>
        <v>17.163399999999911</v>
      </c>
      <c r="AT22" s="15">
        <v>1740.529</v>
      </c>
      <c r="AU22" s="464">
        <f t="shared" si="14"/>
        <v>-30.526599999999917</v>
      </c>
      <c r="AV22" s="464">
        <f t="shared" si="0"/>
        <v>1710.0024000000001</v>
      </c>
      <c r="AX22" s="480"/>
    </row>
    <row r="23" spans="1:50" ht="15">
      <c r="A23" s="421">
        <v>12</v>
      </c>
      <c r="B23" s="385" t="s">
        <v>900</v>
      </c>
      <c r="C23" s="454">
        <v>829</v>
      </c>
      <c r="D23" s="454">
        <v>44561</v>
      </c>
      <c r="E23" s="445">
        <v>232</v>
      </c>
      <c r="F23" s="445">
        <f t="shared" si="1"/>
        <v>10338152</v>
      </c>
      <c r="G23" s="386">
        <v>828</v>
      </c>
      <c r="H23" s="29">
        <v>10432112</v>
      </c>
      <c r="I23" s="459">
        <v>232</v>
      </c>
      <c r="J23" s="29">
        <f t="shared" si="2"/>
        <v>44966</v>
      </c>
      <c r="K23" s="22">
        <f t="shared" si="3"/>
        <v>-405</v>
      </c>
      <c r="L23" s="561">
        <f t="shared" si="4"/>
        <v>100.90886649761002</v>
      </c>
      <c r="M23" s="550">
        <f t="shared" si="5"/>
        <v>828.99312523769117</v>
      </c>
      <c r="N23" s="561">
        <f t="shared" si="6"/>
        <v>404.22174319999999</v>
      </c>
      <c r="O23" s="561">
        <f t="shared" si="7"/>
        <v>268.79195199999998</v>
      </c>
      <c r="P23" s="561"/>
      <c r="Q23" s="561">
        <f>N23+'T5C_Drought_PLAN_vs_PRFM  (2)'!K23</f>
        <v>404.22174319999999</v>
      </c>
      <c r="R23" s="561">
        <f>O23+'T5C_Drought_PLAN_vs_PRFM  (2)'!L23</f>
        <v>268.79195199999998</v>
      </c>
      <c r="S23" s="561"/>
      <c r="T23" s="22"/>
      <c r="U23" s="22"/>
      <c r="V23" s="22"/>
      <c r="W23" s="22"/>
      <c r="X23" s="56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f t="shared" si="8"/>
        <v>1564.8168000000001</v>
      </c>
      <c r="AM23" s="22">
        <f t="shared" si="9"/>
        <v>639.48846560000004</v>
      </c>
      <c r="AN23" s="22"/>
      <c r="AO23" s="22">
        <f t="shared" si="10"/>
        <v>10432112</v>
      </c>
      <c r="AP23" s="22">
        <v>44966</v>
      </c>
      <c r="AQ23" s="22">
        <f t="shared" si="11"/>
        <v>10432112</v>
      </c>
      <c r="AR23" s="22">
        <f t="shared" si="12"/>
        <v>1564.8168000000001</v>
      </c>
      <c r="AS23" s="22">
        <f t="shared" si="13"/>
        <v>4.0552000000000135</v>
      </c>
      <c r="AT23" s="15">
        <v>1568.8720000000001</v>
      </c>
      <c r="AU23" s="464">
        <f t="shared" si="14"/>
        <v>-18.149200000000064</v>
      </c>
      <c r="AV23" s="464">
        <f t="shared" si="0"/>
        <v>1550.7228</v>
      </c>
      <c r="AX23" s="480"/>
    </row>
    <row r="24" spans="1:50" ht="15">
      <c r="A24" s="421">
        <v>13</v>
      </c>
      <c r="B24" s="385" t="s">
        <v>901</v>
      </c>
      <c r="C24" s="454">
        <v>580</v>
      </c>
      <c r="D24" s="454">
        <v>24869</v>
      </c>
      <c r="E24" s="445">
        <v>232</v>
      </c>
      <c r="F24" s="445">
        <f t="shared" si="1"/>
        <v>5769608</v>
      </c>
      <c r="G24" s="386">
        <v>579</v>
      </c>
      <c r="H24" s="29">
        <v>5724136</v>
      </c>
      <c r="I24" s="459">
        <v>232</v>
      </c>
      <c r="J24" s="29">
        <f t="shared" si="2"/>
        <v>24673</v>
      </c>
      <c r="K24" s="22">
        <f t="shared" si="3"/>
        <v>196</v>
      </c>
      <c r="L24" s="561">
        <f t="shared" si="4"/>
        <v>99.211870199847198</v>
      </c>
      <c r="M24" s="550">
        <f t="shared" si="5"/>
        <v>579.69446801041443</v>
      </c>
      <c r="N24" s="561">
        <f t="shared" si="6"/>
        <v>225.5916728</v>
      </c>
      <c r="O24" s="561">
        <f t="shared" si="7"/>
        <v>150.00980800000002</v>
      </c>
      <c r="P24" s="561"/>
      <c r="Q24" s="561">
        <f>N24+'T5C_Drought_PLAN_vs_PRFM  (2)'!K24</f>
        <v>225.5916728</v>
      </c>
      <c r="R24" s="561">
        <f>O24+'T5C_Drought_PLAN_vs_PRFM  (2)'!L24</f>
        <v>150.00980800000002</v>
      </c>
      <c r="S24" s="561"/>
      <c r="T24" s="22"/>
      <c r="U24" s="22"/>
      <c r="V24" s="22"/>
      <c r="W24" s="22"/>
      <c r="X24" s="561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>
        <f t="shared" si="8"/>
        <v>858.62040000000002</v>
      </c>
      <c r="AM24" s="22">
        <f t="shared" si="9"/>
        <v>350.88953679999997</v>
      </c>
      <c r="AN24" s="22"/>
      <c r="AO24" s="22">
        <f t="shared" si="10"/>
        <v>5724136</v>
      </c>
      <c r="AP24" s="22">
        <v>24673</v>
      </c>
      <c r="AQ24" s="22">
        <f t="shared" si="11"/>
        <v>5724136</v>
      </c>
      <c r="AR24" s="22">
        <f t="shared" si="12"/>
        <v>858.62040000000002</v>
      </c>
      <c r="AS24" s="22">
        <f t="shared" si="13"/>
        <v>55.756599999999935</v>
      </c>
      <c r="AT24" s="15">
        <v>914.37699999999995</v>
      </c>
      <c r="AU24" s="464">
        <f t="shared" si="14"/>
        <v>-48.935799999999972</v>
      </c>
      <c r="AV24" s="464">
        <f t="shared" si="0"/>
        <v>865.44119999999998</v>
      </c>
      <c r="AX24" s="480"/>
    </row>
    <row r="25" spans="1:50" ht="15">
      <c r="A25" s="421">
        <v>14</v>
      </c>
      <c r="B25" s="385" t="s">
        <v>902</v>
      </c>
      <c r="C25" s="454">
        <v>810</v>
      </c>
      <c r="D25" s="454">
        <v>61993</v>
      </c>
      <c r="E25" s="445">
        <v>232</v>
      </c>
      <c r="F25" s="445">
        <f t="shared" si="1"/>
        <v>14382376</v>
      </c>
      <c r="G25" s="386">
        <v>809</v>
      </c>
      <c r="H25" s="29">
        <v>14390728</v>
      </c>
      <c r="I25" s="459">
        <v>232</v>
      </c>
      <c r="J25" s="29">
        <f t="shared" si="2"/>
        <v>62029</v>
      </c>
      <c r="K25" s="22">
        <f t="shared" si="3"/>
        <v>-36</v>
      </c>
      <c r="L25" s="561">
        <f t="shared" si="4"/>
        <v>100.05807107254046</v>
      </c>
      <c r="M25" s="550">
        <f t="shared" si="5"/>
        <v>809.9703361319954</v>
      </c>
      <c r="N25" s="561">
        <f t="shared" si="6"/>
        <v>562.35090160000004</v>
      </c>
      <c r="O25" s="561">
        <f t="shared" si="7"/>
        <v>373.941776</v>
      </c>
      <c r="P25" s="561"/>
      <c r="Q25" s="561">
        <f>N25+'T5C_Drought_PLAN_vs_PRFM  (2)'!K25</f>
        <v>570.2161016</v>
      </c>
      <c r="R25" s="561">
        <f>O25+'T5C_Drought_PLAN_vs_PRFM  (2)'!L25</f>
        <v>379.17817600000001</v>
      </c>
      <c r="S25" s="561"/>
      <c r="T25" s="22"/>
      <c r="U25" s="22"/>
      <c r="V25" s="22"/>
      <c r="W25" s="22"/>
      <c r="X25" s="561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f t="shared" si="8"/>
        <v>2158.6091999999999</v>
      </c>
      <c r="AM25" s="22">
        <f t="shared" si="9"/>
        <v>882.15162640000005</v>
      </c>
      <c r="AN25" s="22"/>
      <c r="AO25" s="22">
        <f t="shared" si="10"/>
        <v>14390728</v>
      </c>
      <c r="AP25" s="22">
        <v>62029</v>
      </c>
      <c r="AQ25" s="22">
        <f t="shared" si="11"/>
        <v>14390728</v>
      </c>
      <c r="AR25" s="22">
        <f t="shared" si="12"/>
        <v>2158.6091999999999</v>
      </c>
      <c r="AS25" s="22">
        <f t="shared" si="13"/>
        <v>10.184799999999996</v>
      </c>
      <c r="AT25" s="15">
        <v>2168.7939999999999</v>
      </c>
      <c r="AU25" s="464">
        <f t="shared" si="14"/>
        <v>-11.437599999999748</v>
      </c>
      <c r="AV25" s="464">
        <f t="shared" si="0"/>
        <v>2157.3564000000001</v>
      </c>
      <c r="AX25" s="480"/>
    </row>
    <row r="26" spans="1:50" s="422" customFormat="1" ht="15">
      <c r="A26" s="421">
        <v>15</v>
      </c>
      <c r="B26" s="385" t="s">
        <v>903</v>
      </c>
      <c r="C26" s="454">
        <v>1045</v>
      </c>
      <c r="D26" s="454">
        <v>32536</v>
      </c>
      <c r="E26" s="445">
        <v>232</v>
      </c>
      <c r="F26" s="445">
        <f t="shared" si="1"/>
        <v>7548352</v>
      </c>
      <c r="G26" s="386">
        <v>1044</v>
      </c>
      <c r="H26" s="29">
        <v>7449520</v>
      </c>
      <c r="I26" s="459">
        <v>232</v>
      </c>
      <c r="J26" s="29">
        <f t="shared" si="2"/>
        <v>32110</v>
      </c>
      <c r="K26" s="22">
        <f t="shared" si="3"/>
        <v>426</v>
      </c>
      <c r="L26" s="561">
        <f t="shared" si="4"/>
        <v>98.690681091713799</v>
      </c>
      <c r="M26" s="550">
        <f t="shared" si="5"/>
        <v>1045.2522013866542</v>
      </c>
      <c r="N26" s="561">
        <f t="shared" si="6"/>
        <v>295.14056320000003</v>
      </c>
      <c r="O26" s="561">
        <f t="shared" si="7"/>
        <v>196.25715199999999</v>
      </c>
      <c r="P26" s="561"/>
      <c r="Q26" s="561">
        <f>N26+'T5C_Drought_PLAN_vs_PRFM  (2)'!K26</f>
        <v>296.99556320000005</v>
      </c>
      <c r="R26" s="561">
        <f>O26+'T5C_Drought_PLAN_vs_PRFM  (2)'!L26</f>
        <v>197.492152</v>
      </c>
      <c r="S26" s="561"/>
      <c r="T26" s="22"/>
      <c r="U26" s="22"/>
      <c r="V26" s="22"/>
      <c r="W26" s="22"/>
      <c r="X26" s="561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>
        <f t="shared" si="8"/>
        <v>1117.4280000000001</v>
      </c>
      <c r="AM26" s="22">
        <f t="shared" si="9"/>
        <v>456.655576</v>
      </c>
      <c r="AN26" s="22"/>
      <c r="AO26" s="22">
        <f t="shared" si="10"/>
        <v>7449520</v>
      </c>
      <c r="AP26" s="22">
        <v>32110</v>
      </c>
      <c r="AQ26" s="22">
        <f t="shared" si="11"/>
        <v>7449520</v>
      </c>
      <c r="AR26" s="22">
        <f t="shared" si="12"/>
        <v>1117.4280000000001</v>
      </c>
      <c r="AS26" s="22">
        <f t="shared" si="13"/>
        <v>65.949000000000069</v>
      </c>
      <c r="AT26" s="422">
        <v>1183.3770000000002</v>
      </c>
      <c r="AU26" s="464">
        <f t="shared" si="14"/>
        <v>-51.124200000000201</v>
      </c>
      <c r="AV26" s="464">
        <f t="shared" si="0"/>
        <v>1132.2528</v>
      </c>
      <c r="AX26" s="480"/>
    </row>
    <row r="27" spans="1:50" s="422" customFormat="1" ht="15">
      <c r="A27" s="421">
        <v>16</v>
      </c>
      <c r="B27" s="385" t="s">
        <v>904</v>
      </c>
      <c r="C27" s="454">
        <v>768</v>
      </c>
      <c r="D27" s="454">
        <v>47416</v>
      </c>
      <c r="E27" s="445">
        <v>232</v>
      </c>
      <c r="F27" s="445">
        <f t="shared" si="1"/>
        <v>11000512</v>
      </c>
      <c r="G27" s="386">
        <v>767</v>
      </c>
      <c r="H27" s="29">
        <v>11001672</v>
      </c>
      <c r="I27" s="459">
        <v>232</v>
      </c>
      <c r="J27" s="29">
        <f t="shared" si="2"/>
        <v>47421</v>
      </c>
      <c r="K27" s="22">
        <f t="shared" si="3"/>
        <v>-5</v>
      </c>
      <c r="L27" s="561">
        <f t="shared" si="4"/>
        <v>100.01054496372532</v>
      </c>
      <c r="M27" s="550">
        <f t="shared" si="5"/>
        <v>767.9199602141415</v>
      </c>
      <c r="N27" s="561">
        <f t="shared" si="6"/>
        <v>430.1200192</v>
      </c>
      <c r="O27" s="561">
        <f t="shared" si="7"/>
        <v>286.01331199999998</v>
      </c>
      <c r="P27" s="561"/>
      <c r="Q27" s="561">
        <f>N27+'T5C_Drought_PLAN_vs_PRFM  (2)'!K27</f>
        <v>440.73061919999998</v>
      </c>
      <c r="R27" s="561">
        <f>O27+'T5C_Drought_PLAN_vs_PRFM  (2)'!L27</f>
        <v>293.07751199999996</v>
      </c>
      <c r="S27" s="561"/>
      <c r="T27" s="22"/>
      <c r="U27" s="22"/>
      <c r="V27" s="22"/>
      <c r="W27" s="22"/>
      <c r="X27" s="561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f t="shared" si="8"/>
        <v>1650.2508</v>
      </c>
      <c r="AM27" s="22">
        <f t="shared" si="9"/>
        <v>674.40249359999996</v>
      </c>
      <c r="AN27" s="22"/>
      <c r="AO27" s="22">
        <f t="shared" si="10"/>
        <v>11001672</v>
      </c>
      <c r="AP27" s="22">
        <v>47421</v>
      </c>
      <c r="AQ27" s="22">
        <f t="shared" si="11"/>
        <v>11001672</v>
      </c>
      <c r="AR27" s="22">
        <f t="shared" si="12"/>
        <v>1650.2508</v>
      </c>
      <c r="AS27" s="22">
        <f t="shared" si="13"/>
        <v>34.117199999999912</v>
      </c>
      <c r="AT27" s="422">
        <v>1684.3679999999999</v>
      </c>
      <c r="AU27" s="464">
        <f t="shared" si="14"/>
        <v>-34.29119999999989</v>
      </c>
      <c r="AV27" s="464">
        <f t="shared" si="0"/>
        <v>1650.0768</v>
      </c>
      <c r="AX27" s="480"/>
    </row>
    <row r="28" spans="1:50" s="422" customFormat="1" ht="15">
      <c r="A28" s="421">
        <v>17</v>
      </c>
      <c r="B28" s="385" t="s">
        <v>905</v>
      </c>
      <c r="C28" s="454">
        <v>2170</v>
      </c>
      <c r="D28" s="454">
        <v>80125</v>
      </c>
      <c r="E28" s="445">
        <v>232</v>
      </c>
      <c r="F28" s="445">
        <f t="shared" si="1"/>
        <v>18589000</v>
      </c>
      <c r="G28" s="386">
        <v>2167</v>
      </c>
      <c r="H28" s="29">
        <v>18790144</v>
      </c>
      <c r="I28" s="459">
        <v>232</v>
      </c>
      <c r="J28" s="29">
        <f t="shared" si="2"/>
        <v>80992</v>
      </c>
      <c r="K28" s="22">
        <f t="shared" si="3"/>
        <v>-867</v>
      </c>
      <c r="L28" s="561">
        <f t="shared" si="4"/>
        <v>101.08205928237129</v>
      </c>
      <c r="M28" s="550">
        <f t="shared" si="5"/>
        <v>2169.5991574759382</v>
      </c>
      <c r="N28" s="561">
        <f t="shared" si="6"/>
        <v>726.82989999999995</v>
      </c>
      <c r="O28" s="561">
        <f t="shared" si="7"/>
        <v>483.31400000000002</v>
      </c>
      <c r="P28" s="561"/>
      <c r="Q28" s="561">
        <f>N28+'T5C_Drought_PLAN_vs_PRFM  (2)'!K28</f>
        <v>751.39009999999996</v>
      </c>
      <c r="R28" s="561">
        <f>O28+'T5C_Drought_PLAN_vs_PRFM  (2)'!L28</f>
        <v>499.66540000000003</v>
      </c>
      <c r="S28" s="561"/>
      <c r="T28" s="22"/>
      <c r="U28" s="22"/>
      <c r="V28" s="22"/>
      <c r="W28" s="22"/>
      <c r="X28" s="561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>
        <f t="shared" si="8"/>
        <v>2818.5216</v>
      </c>
      <c r="AM28" s="22">
        <f t="shared" si="9"/>
        <v>1151.8358272</v>
      </c>
      <c r="AN28" s="22"/>
      <c r="AO28" s="22">
        <f t="shared" si="10"/>
        <v>18790144</v>
      </c>
      <c r="AP28" s="22">
        <v>80992</v>
      </c>
      <c r="AQ28" s="22">
        <f t="shared" si="11"/>
        <v>18790144</v>
      </c>
      <c r="AR28" s="22">
        <f t="shared" si="12"/>
        <v>2818.5216</v>
      </c>
      <c r="AS28" s="22">
        <f t="shared" si="13"/>
        <v>31.98239999999987</v>
      </c>
      <c r="AT28" s="422">
        <v>2850.5039999999999</v>
      </c>
      <c r="AU28" s="464">
        <f t="shared" si="14"/>
        <v>-62.153999999999996</v>
      </c>
      <c r="AV28" s="464">
        <f t="shared" si="0"/>
        <v>2788.35</v>
      </c>
      <c r="AX28" s="480"/>
    </row>
    <row r="29" spans="1:50" s="422" customFormat="1" ht="15">
      <c r="A29" s="421">
        <v>18</v>
      </c>
      <c r="B29" s="385" t="s">
        <v>906</v>
      </c>
      <c r="C29" s="454">
        <v>473</v>
      </c>
      <c r="D29" s="454">
        <v>23916</v>
      </c>
      <c r="E29" s="445">
        <v>232</v>
      </c>
      <c r="F29" s="445">
        <f t="shared" si="1"/>
        <v>5548512</v>
      </c>
      <c r="G29" s="386">
        <v>472</v>
      </c>
      <c r="H29" s="29">
        <v>5580528</v>
      </c>
      <c r="I29" s="459">
        <v>232</v>
      </c>
      <c r="J29" s="29">
        <f t="shared" si="2"/>
        <v>24054</v>
      </c>
      <c r="K29" s="22">
        <f t="shared" si="3"/>
        <v>-138</v>
      </c>
      <c r="L29" s="561">
        <f t="shared" si="4"/>
        <v>100.57701956848972</v>
      </c>
      <c r="M29" s="550">
        <f t="shared" si="5"/>
        <v>472.56612936254857</v>
      </c>
      <c r="N29" s="561">
        <f t="shared" si="6"/>
        <v>216.94681920000002</v>
      </c>
      <c r="O29" s="561">
        <f t="shared" si="7"/>
        <v>144.261312</v>
      </c>
      <c r="P29" s="561"/>
      <c r="Q29" s="561">
        <f>N29+'T5C_Drought_PLAN_vs_PRFM  (2)'!K29</f>
        <v>267.18021920000001</v>
      </c>
      <c r="R29" s="561">
        <f>O29+'T5C_Drought_PLAN_vs_PRFM  (2)'!L29</f>
        <v>177.70511200000001</v>
      </c>
      <c r="S29" s="561"/>
      <c r="T29" s="22"/>
      <c r="U29" s="22"/>
      <c r="V29" s="22"/>
      <c r="W29" s="22"/>
      <c r="X29" s="561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f t="shared" si="8"/>
        <v>837.07920000000001</v>
      </c>
      <c r="AM29" s="22">
        <f t="shared" si="9"/>
        <v>342.08636640000003</v>
      </c>
      <c r="AN29" s="22"/>
      <c r="AO29" s="22">
        <f t="shared" si="10"/>
        <v>5580528</v>
      </c>
      <c r="AP29" s="22">
        <v>31054</v>
      </c>
      <c r="AQ29" s="22">
        <f t="shared" si="11"/>
        <v>7204528</v>
      </c>
      <c r="AR29" s="22">
        <f t="shared" si="12"/>
        <v>1080.6792</v>
      </c>
      <c r="AS29" s="22">
        <f t="shared" si="13"/>
        <v>73.238800000000083</v>
      </c>
      <c r="AT29" s="422">
        <v>1153.9180000000001</v>
      </c>
      <c r="AU29" s="464">
        <f t="shared" si="14"/>
        <v>-321.64120000000014</v>
      </c>
      <c r="AV29" s="464">
        <f t="shared" si="0"/>
        <v>832.27679999999998</v>
      </c>
      <c r="AX29" s="480"/>
    </row>
    <row r="30" spans="1:50" s="422" customFormat="1" ht="15">
      <c r="A30" s="421">
        <v>19</v>
      </c>
      <c r="B30" s="385" t="s">
        <v>907</v>
      </c>
      <c r="C30" s="454">
        <v>923</v>
      </c>
      <c r="D30" s="454">
        <v>45619</v>
      </c>
      <c r="E30" s="445">
        <v>232</v>
      </c>
      <c r="F30" s="445">
        <f t="shared" si="1"/>
        <v>10583608</v>
      </c>
      <c r="G30" s="386">
        <v>922</v>
      </c>
      <c r="H30" s="29">
        <v>10457632</v>
      </c>
      <c r="I30" s="459">
        <v>232</v>
      </c>
      <c r="J30" s="29">
        <f t="shared" si="2"/>
        <v>45076</v>
      </c>
      <c r="K30" s="22">
        <f t="shared" si="3"/>
        <v>543</v>
      </c>
      <c r="L30" s="561">
        <f t="shared" si="4"/>
        <v>98.809706481948311</v>
      </c>
      <c r="M30" s="550">
        <f t="shared" si="5"/>
        <v>923.10587133955471</v>
      </c>
      <c r="N30" s="561">
        <f t="shared" si="6"/>
        <v>413.81907280000001</v>
      </c>
      <c r="O30" s="561">
        <f t="shared" si="7"/>
        <v>275.17380800000001</v>
      </c>
      <c r="P30" s="561"/>
      <c r="Q30" s="561">
        <f>N30+'T5C_Drought_PLAN_vs_PRFM  (2)'!K30</f>
        <v>413.81907280000001</v>
      </c>
      <c r="R30" s="561">
        <f>O30+'T5C_Drought_PLAN_vs_PRFM  (2)'!L30</f>
        <v>275.17380800000001</v>
      </c>
      <c r="S30" s="561"/>
      <c r="T30" s="22"/>
      <c r="U30" s="22"/>
      <c r="V30" s="22"/>
      <c r="W30" s="22"/>
      <c r="X30" s="561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>
        <f t="shared" si="8"/>
        <v>1568.6448</v>
      </c>
      <c r="AM30" s="22">
        <f t="shared" si="9"/>
        <v>641.05284159999997</v>
      </c>
      <c r="AN30" s="22"/>
      <c r="AO30" s="22">
        <f t="shared" si="10"/>
        <v>10457632</v>
      </c>
      <c r="AP30" s="22">
        <v>45076</v>
      </c>
      <c r="AQ30" s="22">
        <f t="shared" si="11"/>
        <v>10457632</v>
      </c>
      <c r="AR30" s="22">
        <f t="shared" si="12"/>
        <v>1568.6448</v>
      </c>
      <c r="AS30" s="22">
        <f t="shared" si="13"/>
        <v>43.871199999999817</v>
      </c>
      <c r="AT30" s="422">
        <v>1612.5159999999998</v>
      </c>
      <c r="AU30" s="464">
        <f t="shared" si="14"/>
        <v>-24.974799999999959</v>
      </c>
      <c r="AV30" s="464">
        <f t="shared" si="0"/>
        <v>1587.5411999999999</v>
      </c>
      <c r="AX30" s="480"/>
    </row>
    <row r="31" spans="1:50" s="422" customFormat="1" ht="15">
      <c r="A31" s="421">
        <v>20</v>
      </c>
      <c r="B31" s="385" t="s">
        <v>908</v>
      </c>
      <c r="C31" s="454">
        <v>937</v>
      </c>
      <c r="D31" s="454">
        <v>39962</v>
      </c>
      <c r="E31" s="445">
        <v>232</v>
      </c>
      <c r="F31" s="445">
        <f t="shared" si="1"/>
        <v>9271184</v>
      </c>
      <c r="G31" s="386">
        <v>936</v>
      </c>
      <c r="H31" s="29">
        <v>9380456</v>
      </c>
      <c r="I31" s="459">
        <v>232</v>
      </c>
      <c r="J31" s="29">
        <f t="shared" si="2"/>
        <v>40433</v>
      </c>
      <c r="K31" s="22">
        <f t="shared" si="3"/>
        <v>-471</v>
      </c>
      <c r="L31" s="561">
        <f t="shared" si="4"/>
        <v>101.17861968870427</v>
      </c>
      <c r="M31" s="550">
        <f t="shared" si="5"/>
        <v>937.12266331217268</v>
      </c>
      <c r="N31" s="561">
        <f t="shared" si="6"/>
        <v>362.50329439999996</v>
      </c>
      <c r="O31" s="561">
        <f t="shared" si="7"/>
        <v>241.05078400000002</v>
      </c>
      <c r="P31" s="561"/>
      <c r="Q31" s="561">
        <f>N31+'T5C_Drought_PLAN_vs_PRFM  (2)'!K31</f>
        <v>362.50329439999996</v>
      </c>
      <c r="R31" s="561">
        <f>O31+'T5C_Drought_PLAN_vs_PRFM  (2)'!L31</f>
        <v>241.05078400000002</v>
      </c>
      <c r="S31" s="561"/>
      <c r="T31" s="22"/>
      <c r="U31" s="22"/>
      <c r="V31" s="22"/>
      <c r="W31" s="22"/>
      <c r="X31" s="561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f t="shared" si="8"/>
        <v>1407.0684000000001</v>
      </c>
      <c r="AM31" s="22">
        <f t="shared" si="9"/>
        <v>575.02195280000001</v>
      </c>
      <c r="AN31" s="22"/>
      <c r="AO31" s="22">
        <f t="shared" si="10"/>
        <v>9380456</v>
      </c>
      <c r="AP31" s="22">
        <v>40433</v>
      </c>
      <c r="AQ31" s="22">
        <f t="shared" si="11"/>
        <v>9380456</v>
      </c>
      <c r="AR31" s="22">
        <f t="shared" si="12"/>
        <v>1407.0684000000001</v>
      </c>
      <c r="AS31" s="22">
        <f t="shared" si="13"/>
        <v>24.831599999999753</v>
      </c>
      <c r="AT31" s="422">
        <v>1431.8999999999999</v>
      </c>
      <c r="AU31" s="464">
        <f t="shared" si="14"/>
        <v>-41.22239999999988</v>
      </c>
      <c r="AV31" s="464">
        <f t="shared" si="0"/>
        <v>1390.6776</v>
      </c>
      <c r="AX31" s="480"/>
    </row>
    <row r="32" spans="1:50" s="422" customFormat="1" ht="15">
      <c r="A32" s="421">
        <v>21</v>
      </c>
      <c r="B32" s="385" t="s">
        <v>909</v>
      </c>
      <c r="C32" s="454">
        <v>1050</v>
      </c>
      <c r="D32" s="454">
        <v>31400</v>
      </c>
      <c r="E32" s="445">
        <v>232</v>
      </c>
      <c r="F32" s="445">
        <f t="shared" si="1"/>
        <v>7284800</v>
      </c>
      <c r="G32" s="386">
        <v>1049</v>
      </c>
      <c r="H32" s="29">
        <v>7504504</v>
      </c>
      <c r="I32" s="459">
        <v>232</v>
      </c>
      <c r="J32" s="29">
        <f t="shared" si="2"/>
        <v>32347</v>
      </c>
      <c r="K32" s="22">
        <f t="shared" si="3"/>
        <v>-947</v>
      </c>
      <c r="L32" s="561">
        <f t="shared" si="4"/>
        <v>103.01592356687898</v>
      </c>
      <c r="M32" s="550">
        <f t="shared" si="5"/>
        <v>1050.2581985197319</v>
      </c>
      <c r="N32" s="561">
        <f t="shared" si="6"/>
        <v>284.83568000000002</v>
      </c>
      <c r="O32" s="561">
        <f t="shared" si="7"/>
        <v>189.40479999999999</v>
      </c>
      <c r="P32" s="561"/>
      <c r="Q32" s="561">
        <f>N32+'T5C_Drought_PLAN_vs_PRFM  (2)'!K32</f>
        <v>294.63008000000002</v>
      </c>
      <c r="R32" s="561">
        <f>O32+'T5C_Drought_PLAN_vs_PRFM  (2)'!L32</f>
        <v>195.9256</v>
      </c>
      <c r="S32" s="561"/>
      <c r="T32" s="22"/>
      <c r="U32" s="22"/>
      <c r="V32" s="22"/>
      <c r="W32" s="22"/>
      <c r="X32" s="561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>
        <f t="shared" si="8"/>
        <v>1125.6756</v>
      </c>
      <c r="AM32" s="22">
        <f t="shared" si="9"/>
        <v>460.02609519999999</v>
      </c>
      <c r="AN32" s="22"/>
      <c r="AO32" s="22">
        <f t="shared" si="10"/>
        <v>7504504</v>
      </c>
      <c r="AP32" s="22">
        <v>32347</v>
      </c>
      <c r="AQ32" s="22">
        <f t="shared" si="11"/>
        <v>7504504</v>
      </c>
      <c r="AR32" s="22">
        <f t="shared" si="12"/>
        <v>1125.6756</v>
      </c>
      <c r="AS32" s="22">
        <f t="shared" si="13"/>
        <v>90.845399999999927</v>
      </c>
      <c r="AT32" s="422">
        <v>1216.521</v>
      </c>
      <c r="AU32" s="464">
        <f t="shared" si="14"/>
        <v>-123.80099999999993</v>
      </c>
      <c r="AV32" s="464">
        <f t="shared" si="0"/>
        <v>1092.72</v>
      </c>
      <c r="AX32" s="480"/>
    </row>
    <row r="33" spans="1:50" s="422" customFormat="1" ht="15">
      <c r="A33" s="421">
        <v>22</v>
      </c>
      <c r="B33" s="385" t="s">
        <v>910</v>
      </c>
      <c r="C33" s="454">
        <v>1500</v>
      </c>
      <c r="D33" s="454">
        <v>65942</v>
      </c>
      <c r="E33" s="445">
        <v>232</v>
      </c>
      <c r="F33" s="445">
        <f t="shared" si="1"/>
        <v>15298544</v>
      </c>
      <c r="G33" s="386">
        <v>1498</v>
      </c>
      <c r="H33" s="29">
        <v>15264904</v>
      </c>
      <c r="I33" s="459">
        <v>232</v>
      </c>
      <c r="J33" s="29">
        <f t="shared" si="2"/>
        <v>65797</v>
      </c>
      <c r="K33" s="22">
        <f t="shared" si="3"/>
        <v>145</v>
      </c>
      <c r="L33" s="561">
        <f t="shared" si="4"/>
        <v>99.780109793454855</v>
      </c>
      <c r="M33" s="550">
        <f t="shared" si="5"/>
        <v>1499.7967410701224</v>
      </c>
      <c r="N33" s="561">
        <f t="shared" si="6"/>
        <v>598.17307040000003</v>
      </c>
      <c r="O33" s="561">
        <f t="shared" si="7"/>
        <v>397.76214399999998</v>
      </c>
      <c r="P33" s="561"/>
      <c r="Q33" s="561">
        <f>N33+'T5C_Drought_PLAN_vs_PRFM  (2)'!K33</f>
        <v>626.07227039999998</v>
      </c>
      <c r="R33" s="561">
        <f>O33+'T5C_Drought_PLAN_vs_PRFM  (2)'!L33</f>
        <v>416.336544</v>
      </c>
      <c r="S33" s="561"/>
      <c r="T33" s="22"/>
      <c r="U33" s="22"/>
      <c r="V33" s="22"/>
      <c r="W33" s="22"/>
      <c r="X33" s="561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>
        <f t="shared" si="8"/>
        <v>2289.7356</v>
      </c>
      <c r="AM33" s="22">
        <f t="shared" si="9"/>
        <v>935.73861519999991</v>
      </c>
      <c r="AN33" s="22"/>
      <c r="AO33" s="22">
        <f t="shared" si="10"/>
        <v>15264904</v>
      </c>
      <c r="AP33" s="22">
        <v>65797</v>
      </c>
      <c r="AQ33" s="22">
        <f t="shared" si="11"/>
        <v>15264904</v>
      </c>
      <c r="AR33" s="22">
        <f t="shared" si="12"/>
        <v>2289.7356</v>
      </c>
      <c r="AS33" s="22">
        <f t="shared" si="13"/>
        <v>91.24539999999979</v>
      </c>
      <c r="AT33" s="422">
        <v>2380.9809999999998</v>
      </c>
      <c r="AU33" s="464">
        <f t="shared" si="14"/>
        <v>-86.199399999999969</v>
      </c>
      <c r="AV33" s="464">
        <f t="shared" si="0"/>
        <v>2294.7815999999998</v>
      </c>
      <c r="AX33" s="480"/>
    </row>
    <row r="34" spans="1:50" s="422" customFormat="1" ht="15">
      <c r="A34" s="421">
        <v>23</v>
      </c>
      <c r="B34" s="385" t="s">
        <v>911</v>
      </c>
      <c r="C34" s="454">
        <v>699</v>
      </c>
      <c r="D34" s="454">
        <v>31799</v>
      </c>
      <c r="E34" s="445">
        <v>232</v>
      </c>
      <c r="F34" s="445">
        <f t="shared" si="1"/>
        <v>7377368</v>
      </c>
      <c r="G34" s="386">
        <v>698</v>
      </c>
      <c r="H34" s="29">
        <v>7182952</v>
      </c>
      <c r="I34" s="459">
        <v>232</v>
      </c>
      <c r="J34" s="29">
        <f t="shared" si="2"/>
        <v>30961</v>
      </c>
      <c r="K34" s="22">
        <f t="shared" si="3"/>
        <v>838</v>
      </c>
      <c r="L34" s="561">
        <f t="shared" si="4"/>
        <v>97.364697003050409</v>
      </c>
      <c r="M34" s="550">
        <f t="shared" si="5"/>
        <v>698.83719977766714</v>
      </c>
      <c r="N34" s="561">
        <f t="shared" si="6"/>
        <v>288.4550888</v>
      </c>
      <c r="O34" s="561">
        <f t="shared" si="7"/>
        <v>191.81156799999999</v>
      </c>
      <c r="P34" s="561"/>
      <c r="Q34" s="561">
        <f>N34+'T5C_Drought_PLAN_vs_PRFM  (2)'!K34</f>
        <v>288.4550888</v>
      </c>
      <c r="R34" s="561">
        <f>O34+'T5C_Drought_PLAN_vs_PRFM  (2)'!L34</f>
        <v>191.81156799999999</v>
      </c>
      <c r="S34" s="561"/>
      <c r="T34" s="22"/>
      <c r="U34" s="22"/>
      <c r="V34" s="22"/>
      <c r="W34" s="22"/>
      <c r="X34" s="561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>
        <f t="shared" si="8"/>
        <v>1077.4428</v>
      </c>
      <c r="AM34" s="22">
        <f t="shared" si="9"/>
        <v>440.31495759999996</v>
      </c>
      <c r="AN34" s="22"/>
      <c r="AO34" s="22">
        <f t="shared" si="10"/>
        <v>7182952</v>
      </c>
      <c r="AP34" s="22">
        <v>30961</v>
      </c>
      <c r="AQ34" s="22">
        <f t="shared" si="11"/>
        <v>7182952</v>
      </c>
      <c r="AR34" s="22">
        <f t="shared" si="12"/>
        <v>1077.4428</v>
      </c>
      <c r="AS34" s="22">
        <f t="shared" si="13"/>
        <v>54.587199999999939</v>
      </c>
      <c r="AT34" s="422">
        <v>1132.03</v>
      </c>
      <c r="AU34" s="464">
        <f t="shared" si="14"/>
        <v>-25.424800000000005</v>
      </c>
      <c r="AV34" s="464">
        <f t="shared" si="0"/>
        <v>1106.6052</v>
      </c>
      <c r="AX34" s="480"/>
    </row>
    <row r="35" spans="1:50" s="422" customFormat="1" ht="15">
      <c r="A35" s="421">
        <v>24</v>
      </c>
      <c r="B35" s="385" t="s">
        <v>912</v>
      </c>
      <c r="C35" s="454">
        <v>719</v>
      </c>
      <c r="D35" s="454">
        <v>30832</v>
      </c>
      <c r="E35" s="445">
        <v>232</v>
      </c>
      <c r="F35" s="445">
        <f t="shared" si="1"/>
        <v>7153024</v>
      </c>
      <c r="G35" s="386">
        <v>718</v>
      </c>
      <c r="H35" s="29">
        <v>7019392</v>
      </c>
      <c r="I35" s="459">
        <v>232</v>
      </c>
      <c r="J35" s="29">
        <f t="shared" si="2"/>
        <v>30256</v>
      </c>
      <c r="K35" s="22">
        <f t="shared" si="3"/>
        <v>576</v>
      </c>
      <c r="L35" s="561">
        <f t="shared" si="4"/>
        <v>98.131811105345108</v>
      </c>
      <c r="M35" s="550">
        <f t="shared" si="5"/>
        <v>718.86118830997862</v>
      </c>
      <c r="N35" s="561">
        <f t="shared" si="6"/>
        <v>279.68323839999999</v>
      </c>
      <c r="O35" s="561">
        <f t="shared" si="7"/>
        <v>185.97862400000002</v>
      </c>
      <c r="P35" s="561"/>
      <c r="Q35" s="561">
        <f>N35+'T5C_Drought_PLAN_vs_PRFM  (2)'!K35</f>
        <v>279.68323839999999</v>
      </c>
      <c r="R35" s="561">
        <f>O35+'T5C_Drought_PLAN_vs_PRFM  (2)'!L35</f>
        <v>185.97862400000002</v>
      </c>
      <c r="S35" s="561"/>
      <c r="T35" s="22"/>
      <c r="U35" s="22"/>
      <c r="V35" s="22"/>
      <c r="W35" s="22"/>
      <c r="X35" s="561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>
        <f t="shared" si="8"/>
        <v>1052.9087999999999</v>
      </c>
      <c r="AM35" s="22">
        <f t="shared" si="9"/>
        <v>430.28872960000001</v>
      </c>
      <c r="AN35" s="22"/>
      <c r="AO35" s="22">
        <f t="shared" si="10"/>
        <v>7019392</v>
      </c>
      <c r="AP35" s="22">
        <v>30256</v>
      </c>
      <c r="AQ35" s="22">
        <f t="shared" si="11"/>
        <v>7019392</v>
      </c>
      <c r="AR35" s="22">
        <f t="shared" si="12"/>
        <v>1052.9087999999999</v>
      </c>
      <c r="AS35" s="22">
        <f t="shared" si="13"/>
        <v>12.853200000000243</v>
      </c>
      <c r="AT35" s="422">
        <v>1065.7620000000002</v>
      </c>
      <c r="AU35" s="464">
        <f t="shared" si="14"/>
        <v>7.1915999999998803</v>
      </c>
      <c r="AV35" s="464">
        <f t="shared" si="0"/>
        <v>1072.9536000000001</v>
      </c>
      <c r="AX35" s="480"/>
    </row>
    <row r="36" spans="1:50" s="422" customFormat="1" ht="14.25">
      <c r="A36" s="421">
        <v>25</v>
      </c>
      <c r="B36" s="385" t="s">
        <v>913</v>
      </c>
      <c r="C36" s="454">
        <v>1710</v>
      </c>
      <c r="D36" s="454">
        <v>80080</v>
      </c>
      <c r="E36" s="445">
        <v>232</v>
      </c>
      <c r="F36" s="445">
        <f t="shared" si="1"/>
        <v>18578560</v>
      </c>
      <c r="G36" s="388">
        <v>1708</v>
      </c>
      <c r="H36" s="29">
        <v>18557912</v>
      </c>
      <c r="I36" s="459">
        <v>232</v>
      </c>
      <c r="J36" s="29">
        <f t="shared" si="2"/>
        <v>79991</v>
      </c>
      <c r="K36" s="22">
        <f t="shared" si="3"/>
        <v>89</v>
      </c>
      <c r="L36" s="561">
        <f t="shared" si="4"/>
        <v>99.888861138861145</v>
      </c>
      <c r="M36" s="550">
        <f t="shared" si="5"/>
        <v>1710.0486206593919</v>
      </c>
      <c r="N36" s="561">
        <f t="shared" si="6"/>
        <v>726.42169600000011</v>
      </c>
      <c r="O36" s="561">
        <f t="shared" si="7"/>
        <v>483.04255999999998</v>
      </c>
      <c r="P36" s="561"/>
      <c r="Q36" s="561">
        <f>N36+'T5C_Drought_PLAN_vs_PRFM  (2)'!K36</f>
        <v>729.83489600000007</v>
      </c>
      <c r="R36" s="561">
        <f>O36+'T5C_Drought_PLAN_vs_PRFM  (2)'!L36</f>
        <v>485.31495999999999</v>
      </c>
      <c r="S36" s="561"/>
      <c r="T36" s="22"/>
      <c r="U36" s="22"/>
      <c r="V36" s="22"/>
      <c r="W36" s="22"/>
      <c r="X36" s="561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>
        <f t="shared" si="8"/>
        <v>2783.6867999999999</v>
      </c>
      <c r="AM36" s="22">
        <f t="shared" si="9"/>
        <v>1137.6000056</v>
      </c>
      <c r="AN36" s="22"/>
      <c r="AO36" s="22">
        <f t="shared" si="10"/>
        <v>18557912</v>
      </c>
      <c r="AP36" s="22">
        <v>79991</v>
      </c>
      <c r="AQ36" s="22">
        <f t="shared" si="11"/>
        <v>18557912</v>
      </c>
      <c r="AR36" s="22">
        <f t="shared" si="12"/>
        <v>2783.6867999999999</v>
      </c>
      <c r="AS36" s="22">
        <f t="shared" si="13"/>
        <v>81.007200000000012</v>
      </c>
      <c r="AT36" s="422">
        <v>2864.694</v>
      </c>
      <c r="AU36" s="464">
        <f t="shared" si="14"/>
        <v>-77.909999999999854</v>
      </c>
      <c r="AV36" s="464">
        <f t="shared" si="0"/>
        <v>2786.7840000000001</v>
      </c>
      <c r="AX36" s="480"/>
    </row>
    <row r="37" spans="1:50" s="422" customFormat="1" ht="14.25">
      <c r="A37" s="421">
        <v>26</v>
      </c>
      <c r="B37" s="385" t="s">
        <v>914</v>
      </c>
      <c r="C37" s="454">
        <v>1208</v>
      </c>
      <c r="D37" s="454">
        <v>58661</v>
      </c>
      <c r="E37" s="445">
        <v>232</v>
      </c>
      <c r="F37" s="445">
        <f t="shared" si="1"/>
        <v>13609352</v>
      </c>
      <c r="G37" s="388">
        <v>1207</v>
      </c>
      <c r="H37" s="29">
        <v>13538592</v>
      </c>
      <c r="I37" s="459">
        <v>232</v>
      </c>
      <c r="J37" s="29">
        <f t="shared" si="2"/>
        <v>58356</v>
      </c>
      <c r="K37" s="22">
        <f t="shared" si="3"/>
        <v>305</v>
      </c>
      <c r="L37" s="561">
        <f t="shared" si="4"/>
        <v>99.48006341521625</v>
      </c>
      <c r="M37" s="550">
        <f t="shared" si="5"/>
        <v>1208.4477079249918</v>
      </c>
      <c r="N37" s="561">
        <f t="shared" si="6"/>
        <v>532.12566319999996</v>
      </c>
      <c r="O37" s="561">
        <f t="shared" si="7"/>
        <v>353.84315200000003</v>
      </c>
      <c r="P37" s="561"/>
      <c r="Q37" s="561">
        <f>N37+'T5C_Drought_PLAN_vs_PRFM  (2)'!K37</f>
        <v>532.12566319999996</v>
      </c>
      <c r="R37" s="561">
        <f>O37+'T5C_Drought_PLAN_vs_PRFM  (2)'!L37</f>
        <v>353.84315200000003</v>
      </c>
      <c r="S37" s="561"/>
      <c r="T37" s="22"/>
      <c r="U37" s="22"/>
      <c r="V37" s="22"/>
      <c r="W37" s="22"/>
      <c r="X37" s="561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>
        <f t="shared" si="8"/>
        <v>2030.7888</v>
      </c>
      <c r="AM37" s="22">
        <f t="shared" si="9"/>
        <v>829.91568959999995</v>
      </c>
      <c r="AN37" s="22"/>
      <c r="AO37" s="22">
        <f t="shared" si="10"/>
        <v>13538592</v>
      </c>
      <c r="AP37" s="22">
        <v>58356</v>
      </c>
      <c r="AQ37" s="22">
        <f t="shared" si="11"/>
        <v>13538592</v>
      </c>
      <c r="AR37" s="22">
        <f t="shared" si="12"/>
        <v>2030.7888</v>
      </c>
      <c r="AS37" s="22">
        <f t="shared" si="13"/>
        <v>27.453200000000152</v>
      </c>
      <c r="AT37" s="422">
        <v>2058.2420000000002</v>
      </c>
      <c r="AU37" s="464">
        <f t="shared" si="14"/>
        <v>-16.839200000000119</v>
      </c>
      <c r="AV37" s="464">
        <f t="shared" si="0"/>
        <v>2041.4028000000001</v>
      </c>
      <c r="AX37" s="480"/>
    </row>
    <row r="38" spans="1:50" s="422" customFormat="1" ht="15">
      <c r="A38" s="421">
        <v>27</v>
      </c>
      <c r="B38" s="385" t="s">
        <v>915</v>
      </c>
      <c r="C38" s="454">
        <v>515</v>
      </c>
      <c r="D38" s="454">
        <v>34940</v>
      </c>
      <c r="E38" s="445">
        <v>232</v>
      </c>
      <c r="F38" s="445">
        <f t="shared" si="1"/>
        <v>8106080</v>
      </c>
      <c r="G38" s="386">
        <v>514</v>
      </c>
      <c r="H38" s="29">
        <v>8129744</v>
      </c>
      <c r="I38" s="459">
        <v>232</v>
      </c>
      <c r="J38" s="29">
        <f t="shared" si="2"/>
        <v>35042</v>
      </c>
      <c r="K38" s="22">
        <f t="shared" si="3"/>
        <v>-102</v>
      </c>
      <c r="L38" s="561">
        <f t="shared" si="4"/>
        <v>100.29192902117916</v>
      </c>
      <c r="M38" s="550">
        <f t="shared" si="5"/>
        <v>514.61650528040252</v>
      </c>
      <c r="N38" s="561">
        <f t="shared" si="6"/>
        <v>316.94772799999998</v>
      </c>
      <c r="O38" s="561">
        <f t="shared" si="7"/>
        <v>210.75808000000001</v>
      </c>
      <c r="P38" s="561"/>
      <c r="Q38" s="561">
        <f>N38+'T5C_Drought_PLAN_vs_PRFM  (2)'!K38</f>
        <v>316.94772799999998</v>
      </c>
      <c r="R38" s="561">
        <f>O38+'T5C_Drought_PLAN_vs_PRFM  (2)'!L38</f>
        <v>210.75808000000001</v>
      </c>
      <c r="S38" s="561"/>
      <c r="T38" s="22"/>
      <c r="U38" s="22"/>
      <c r="V38" s="22"/>
      <c r="W38" s="22"/>
      <c r="X38" s="561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>
        <f t="shared" si="8"/>
        <v>1219.4616000000001</v>
      </c>
      <c r="AM38" s="22">
        <f t="shared" si="9"/>
        <v>498.35330719999996</v>
      </c>
      <c r="AN38" s="22"/>
      <c r="AO38" s="22">
        <f t="shared" si="10"/>
        <v>8129744</v>
      </c>
      <c r="AP38" s="22">
        <v>35042</v>
      </c>
      <c r="AQ38" s="22">
        <f t="shared" si="11"/>
        <v>8129744</v>
      </c>
      <c r="AR38" s="22">
        <f t="shared" si="12"/>
        <v>1219.4616000000001</v>
      </c>
      <c r="AS38" s="22">
        <f t="shared" si="13"/>
        <v>84.033399999999801</v>
      </c>
      <c r="AT38" s="422">
        <v>1303.4949999999999</v>
      </c>
      <c r="AU38" s="464">
        <f t="shared" si="14"/>
        <v>-87.582999999999856</v>
      </c>
      <c r="AV38" s="464">
        <f t="shared" si="0"/>
        <v>1215.912</v>
      </c>
      <c r="AX38" s="480"/>
    </row>
    <row r="39" spans="1:50" s="422" customFormat="1" ht="14.25">
      <c r="A39" s="421">
        <v>28</v>
      </c>
      <c r="B39" s="385" t="s">
        <v>916</v>
      </c>
      <c r="C39" s="454">
        <v>839</v>
      </c>
      <c r="D39" s="454">
        <v>41342</v>
      </c>
      <c r="E39" s="445">
        <v>232</v>
      </c>
      <c r="F39" s="445">
        <f t="shared" si="1"/>
        <v>9591344</v>
      </c>
      <c r="G39" s="388">
        <v>838</v>
      </c>
      <c r="H39" s="29">
        <v>9803160</v>
      </c>
      <c r="I39" s="459">
        <v>232</v>
      </c>
      <c r="J39" s="29">
        <f t="shared" si="2"/>
        <v>42255</v>
      </c>
      <c r="K39" s="22">
        <f t="shared" si="3"/>
        <v>-913</v>
      </c>
      <c r="L39" s="561">
        <f t="shared" si="4"/>
        <v>102.20840791446955</v>
      </c>
      <c r="M39" s="550">
        <f t="shared" si="5"/>
        <v>839.00511950384691</v>
      </c>
      <c r="N39" s="561">
        <f t="shared" si="6"/>
        <v>375.02155039999997</v>
      </c>
      <c r="O39" s="561">
        <f t="shared" si="7"/>
        <v>249.37494400000003</v>
      </c>
      <c r="P39" s="561"/>
      <c r="Q39" s="561">
        <f>N39+'T5C_Drought_PLAN_vs_PRFM  (2)'!K39</f>
        <v>375.02155039999997</v>
      </c>
      <c r="R39" s="561">
        <f>O39+'T5C_Drought_PLAN_vs_PRFM  (2)'!L39</f>
        <v>249.37494400000003</v>
      </c>
      <c r="S39" s="561"/>
      <c r="T39" s="22"/>
      <c r="U39" s="22"/>
      <c r="V39" s="22"/>
      <c r="W39" s="22"/>
      <c r="X39" s="561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>
        <f t="shared" si="8"/>
        <v>1470.4739999999999</v>
      </c>
      <c r="AM39" s="22">
        <f t="shared" si="9"/>
        <v>600.93370800000002</v>
      </c>
      <c r="AN39" s="22"/>
      <c r="AO39" s="22">
        <f t="shared" si="10"/>
        <v>9803160</v>
      </c>
      <c r="AP39" s="22">
        <v>42255</v>
      </c>
      <c r="AQ39" s="22">
        <f t="shared" si="11"/>
        <v>9803160</v>
      </c>
      <c r="AR39" s="22">
        <f t="shared" si="12"/>
        <v>1470.4739999999999</v>
      </c>
      <c r="AS39" s="22">
        <f t="shared" si="13"/>
        <v>27.344000000000051</v>
      </c>
      <c r="AT39" s="422">
        <v>1497.818</v>
      </c>
      <c r="AU39" s="464">
        <f t="shared" si="14"/>
        <v>-59.116399999999885</v>
      </c>
      <c r="AV39" s="464">
        <f t="shared" si="0"/>
        <v>1438.7016000000001</v>
      </c>
      <c r="AX39" s="480"/>
    </row>
    <row r="40" spans="1:50" s="422" customFormat="1" ht="14.25">
      <c r="A40" s="421">
        <v>29</v>
      </c>
      <c r="B40" s="385" t="s">
        <v>917</v>
      </c>
      <c r="C40" s="454">
        <v>615</v>
      </c>
      <c r="D40" s="454">
        <v>28667</v>
      </c>
      <c r="E40" s="445">
        <v>232</v>
      </c>
      <c r="F40" s="445">
        <f t="shared" si="1"/>
        <v>6650744</v>
      </c>
      <c r="G40" s="388">
        <v>614</v>
      </c>
      <c r="H40" s="29">
        <v>6763960</v>
      </c>
      <c r="I40" s="459">
        <v>232</v>
      </c>
      <c r="J40" s="29">
        <f t="shared" si="2"/>
        <v>29155</v>
      </c>
      <c r="K40" s="22">
        <f t="shared" si="3"/>
        <v>-488</v>
      </c>
      <c r="L40" s="561">
        <f t="shared" si="4"/>
        <v>101.70230578714201</v>
      </c>
      <c r="M40" s="550">
        <f t="shared" si="5"/>
        <v>614.73644794195934</v>
      </c>
      <c r="N40" s="561">
        <f t="shared" si="6"/>
        <v>260.04409040000002</v>
      </c>
      <c r="O40" s="561">
        <f t="shared" si="7"/>
        <v>172.91934400000002</v>
      </c>
      <c r="P40" s="561"/>
      <c r="Q40" s="561">
        <f>N40+'T5C_Drought_PLAN_vs_PRFM  (2)'!K40</f>
        <v>300.26049040000004</v>
      </c>
      <c r="R40" s="561">
        <f>O40+'T5C_Drought_PLAN_vs_PRFM  (2)'!L40</f>
        <v>199.69414400000002</v>
      </c>
      <c r="S40" s="561"/>
      <c r="T40" s="22"/>
      <c r="U40" s="22"/>
      <c r="V40" s="22"/>
      <c r="W40" s="22"/>
      <c r="X40" s="561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>
        <f t="shared" si="8"/>
        <v>1014.5940000000001</v>
      </c>
      <c r="AM40" s="22">
        <f t="shared" si="9"/>
        <v>414.63074799999998</v>
      </c>
      <c r="AN40" s="22"/>
      <c r="AO40" s="22">
        <f t="shared" si="10"/>
        <v>6763960</v>
      </c>
      <c r="AP40" s="22">
        <v>29155</v>
      </c>
      <c r="AQ40" s="22">
        <f t="shared" si="11"/>
        <v>6763960</v>
      </c>
      <c r="AR40" s="22">
        <f t="shared" si="12"/>
        <v>1014.5940000000001</v>
      </c>
      <c r="AS40" s="22">
        <f t="shared" si="13"/>
        <v>72.672000000000025</v>
      </c>
      <c r="AT40" s="422">
        <v>1087.2660000000001</v>
      </c>
      <c r="AU40" s="464">
        <f t="shared" si="14"/>
        <v>-89.654400000000123</v>
      </c>
      <c r="AV40" s="464">
        <f t="shared" si="0"/>
        <v>997.61159999999995</v>
      </c>
      <c r="AX40" s="480"/>
    </row>
    <row r="41" spans="1:50" s="422" customFormat="1" ht="15">
      <c r="A41" s="421">
        <v>30</v>
      </c>
      <c r="B41" s="385" t="s">
        <v>918</v>
      </c>
      <c r="C41" s="454">
        <v>1330</v>
      </c>
      <c r="D41" s="454">
        <v>47117</v>
      </c>
      <c r="E41" s="445">
        <v>232</v>
      </c>
      <c r="F41" s="445">
        <f t="shared" si="1"/>
        <v>10931144</v>
      </c>
      <c r="G41" s="386">
        <v>1328</v>
      </c>
      <c r="H41" s="29">
        <v>10977080</v>
      </c>
      <c r="I41" s="459">
        <v>232</v>
      </c>
      <c r="J41" s="29">
        <f t="shared" si="2"/>
        <v>47315</v>
      </c>
      <c r="K41" s="22">
        <f t="shared" si="3"/>
        <v>-198</v>
      </c>
      <c r="L41" s="561">
        <f t="shared" si="4"/>
        <v>100.42023049005667</v>
      </c>
      <c r="M41" s="550">
        <f t="shared" si="5"/>
        <v>1329.5928385454756</v>
      </c>
      <c r="N41" s="561">
        <f t="shared" si="6"/>
        <v>427.40773039999999</v>
      </c>
      <c r="O41" s="561">
        <f t="shared" si="7"/>
        <v>284.209744</v>
      </c>
      <c r="P41" s="561"/>
      <c r="Q41" s="561">
        <f>N41+'T5C_Drought_PLAN_vs_PRFM  (2)'!K41</f>
        <v>427.40773039999999</v>
      </c>
      <c r="R41" s="561">
        <f>O41+'T5C_Drought_PLAN_vs_PRFM  (2)'!L41</f>
        <v>284.209744</v>
      </c>
      <c r="S41" s="561"/>
      <c r="T41" s="22"/>
      <c r="U41" s="22"/>
      <c r="V41" s="22"/>
      <c r="W41" s="22"/>
      <c r="X41" s="561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>
        <f t="shared" si="8"/>
        <v>1646.5619999999999</v>
      </c>
      <c r="AM41" s="22">
        <f t="shared" si="9"/>
        <v>672.89500400000009</v>
      </c>
      <c r="AN41" s="22"/>
      <c r="AO41" s="22">
        <f t="shared" si="10"/>
        <v>10977080</v>
      </c>
      <c r="AP41" s="22">
        <v>47315</v>
      </c>
      <c r="AQ41" s="22">
        <f t="shared" si="11"/>
        <v>10977080</v>
      </c>
      <c r="AR41" s="22">
        <f t="shared" si="12"/>
        <v>1646.5619999999999</v>
      </c>
      <c r="AS41" s="22">
        <f t="shared" si="13"/>
        <v>56.727000000000089</v>
      </c>
      <c r="AT41" s="422">
        <v>1703.289</v>
      </c>
      <c r="AU41" s="464">
        <f t="shared" si="14"/>
        <v>-63.617400000000089</v>
      </c>
      <c r="AV41" s="464">
        <f t="shared" si="0"/>
        <v>1639.6715999999999</v>
      </c>
      <c r="AX41" s="480"/>
    </row>
    <row r="42" spans="1:50" s="422" customFormat="1" ht="14.25">
      <c r="A42" s="421">
        <v>31</v>
      </c>
      <c r="B42" s="385" t="s">
        <v>919</v>
      </c>
      <c r="C42" s="454">
        <v>464</v>
      </c>
      <c r="D42" s="454">
        <v>25782</v>
      </c>
      <c r="E42" s="445">
        <v>232</v>
      </c>
      <c r="F42" s="445">
        <f t="shared" si="1"/>
        <v>5981424</v>
      </c>
      <c r="G42" s="388">
        <v>463</v>
      </c>
      <c r="H42" s="29">
        <v>5977248</v>
      </c>
      <c r="I42" s="459">
        <v>232</v>
      </c>
      <c r="J42" s="29">
        <f t="shared" si="2"/>
        <v>25764</v>
      </c>
      <c r="K42" s="22">
        <f t="shared" si="3"/>
        <v>18</v>
      </c>
      <c r="L42" s="561">
        <f t="shared" si="4"/>
        <v>99.930183849197121</v>
      </c>
      <c r="M42" s="550">
        <f t="shared" si="5"/>
        <v>463.55533452300847</v>
      </c>
      <c r="N42" s="561">
        <f t="shared" si="6"/>
        <v>233.87367839999999</v>
      </c>
      <c r="O42" s="561">
        <f t="shared" si="7"/>
        <v>155.51702399999999</v>
      </c>
      <c r="P42" s="561"/>
      <c r="Q42" s="561">
        <f>N42+'T5C_Drought_PLAN_vs_PRFM  (2)'!K42</f>
        <v>233.87367839999999</v>
      </c>
      <c r="R42" s="561">
        <f>O42+'T5C_Drought_PLAN_vs_PRFM  (2)'!L42</f>
        <v>155.51702399999999</v>
      </c>
      <c r="S42" s="561"/>
      <c r="T42" s="22"/>
      <c r="U42" s="22"/>
      <c r="V42" s="22"/>
      <c r="W42" s="22"/>
      <c r="X42" s="561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>
        <f t="shared" si="8"/>
        <v>896.58720000000005</v>
      </c>
      <c r="AM42" s="22">
        <f t="shared" si="9"/>
        <v>366.40530240000004</v>
      </c>
      <c r="AN42" s="22"/>
      <c r="AO42" s="22">
        <f t="shared" si="10"/>
        <v>5977248</v>
      </c>
      <c r="AP42" s="22">
        <v>25764</v>
      </c>
      <c r="AQ42" s="22">
        <f t="shared" si="11"/>
        <v>5977248</v>
      </c>
      <c r="AR42" s="22">
        <f t="shared" si="12"/>
        <v>896.58720000000005</v>
      </c>
      <c r="AS42" s="22">
        <f t="shared" si="13"/>
        <v>67.090800000000058</v>
      </c>
      <c r="AT42" s="422">
        <v>963.67800000000011</v>
      </c>
      <c r="AU42" s="464">
        <f t="shared" si="14"/>
        <v>-66.464400000000069</v>
      </c>
      <c r="AV42" s="464">
        <f t="shared" si="0"/>
        <v>897.21360000000004</v>
      </c>
      <c r="AX42" s="480"/>
    </row>
    <row r="43" spans="1:50" s="422" customFormat="1" ht="14.25">
      <c r="A43" s="421">
        <v>32</v>
      </c>
      <c r="B43" s="385" t="s">
        <v>920</v>
      </c>
      <c r="C43" s="454">
        <v>846</v>
      </c>
      <c r="D43" s="454">
        <v>31172</v>
      </c>
      <c r="E43" s="445">
        <v>232</v>
      </c>
      <c r="F43" s="445">
        <f t="shared" si="1"/>
        <v>7231904</v>
      </c>
      <c r="G43" s="388">
        <v>845</v>
      </c>
      <c r="H43" s="29">
        <v>7345120</v>
      </c>
      <c r="I43" s="459">
        <v>232</v>
      </c>
      <c r="J43" s="29">
        <f t="shared" si="2"/>
        <v>31660</v>
      </c>
      <c r="K43" s="22">
        <f t="shared" si="3"/>
        <v>-488</v>
      </c>
      <c r="L43" s="561">
        <f t="shared" si="4"/>
        <v>101.56550750673681</v>
      </c>
      <c r="M43" s="550">
        <f t="shared" si="5"/>
        <v>846.0135154901559</v>
      </c>
      <c r="N43" s="561">
        <f t="shared" si="6"/>
        <v>282.76744639999998</v>
      </c>
      <c r="O43" s="561">
        <f t="shared" si="7"/>
        <v>188.02950400000003</v>
      </c>
      <c r="P43" s="561"/>
      <c r="Q43" s="561">
        <f>N43+'T5C_Drought_PLAN_vs_PRFM  (2)'!K43</f>
        <v>282.76744639999998</v>
      </c>
      <c r="R43" s="561">
        <f>O43+'T5C_Drought_PLAN_vs_PRFM  (2)'!L43</f>
        <v>188.02950400000003</v>
      </c>
      <c r="S43" s="561"/>
      <c r="T43" s="22"/>
      <c r="U43" s="22"/>
      <c r="V43" s="22"/>
      <c r="W43" s="22"/>
      <c r="X43" s="561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>
        <f t="shared" si="8"/>
        <v>1101.768</v>
      </c>
      <c r="AM43" s="22">
        <f t="shared" si="9"/>
        <v>450.25585599999999</v>
      </c>
      <c r="AN43" s="22"/>
      <c r="AO43" s="22">
        <f t="shared" si="10"/>
        <v>7345120</v>
      </c>
      <c r="AP43" s="22">
        <v>31660</v>
      </c>
      <c r="AQ43" s="22">
        <f t="shared" si="11"/>
        <v>7345120</v>
      </c>
      <c r="AR43" s="22">
        <f t="shared" si="12"/>
        <v>1101.768</v>
      </c>
      <c r="AS43" s="22">
        <f t="shared" si="13"/>
        <v>6.9490000000000691</v>
      </c>
      <c r="AT43" s="422">
        <v>1108.7170000000001</v>
      </c>
      <c r="AU43" s="464">
        <f t="shared" si="14"/>
        <v>-23.931400000000167</v>
      </c>
      <c r="AV43" s="464">
        <f t="shared" si="0"/>
        <v>1084.7855999999999</v>
      </c>
      <c r="AX43" s="480"/>
    </row>
    <row r="44" spans="1:50" s="422" customFormat="1" ht="14.25">
      <c r="A44" s="421">
        <v>33</v>
      </c>
      <c r="B44" s="385" t="s">
        <v>921</v>
      </c>
      <c r="C44" s="454">
        <v>1521</v>
      </c>
      <c r="D44" s="454">
        <v>80415</v>
      </c>
      <c r="E44" s="445">
        <v>232</v>
      </c>
      <c r="F44" s="445">
        <f t="shared" si="1"/>
        <v>18656280</v>
      </c>
      <c r="G44" s="388">
        <v>1520</v>
      </c>
      <c r="H44" s="29">
        <v>18580880</v>
      </c>
      <c r="I44" s="459">
        <v>232</v>
      </c>
      <c r="J44" s="29">
        <f t="shared" si="2"/>
        <v>80090</v>
      </c>
      <c r="K44" s="22">
        <f t="shared" si="3"/>
        <v>325</v>
      </c>
      <c r="L44" s="561">
        <f t="shared" si="4"/>
        <v>99.595846546042409</v>
      </c>
      <c r="M44" s="550">
        <f t="shared" si="5"/>
        <v>1521.823128455665</v>
      </c>
      <c r="N44" s="561">
        <f t="shared" si="6"/>
        <v>729.46054800000002</v>
      </c>
      <c r="O44" s="561">
        <f t="shared" si="7"/>
        <v>485.06328000000002</v>
      </c>
      <c r="P44" s="561"/>
      <c r="Q44" s="561">
        <f>N44+'T5C_Drought_PLAN_vs_PRFM  (2)'!K44</f>
        <v>729.46054800000002</v>
      </c>
      <c r="R44" s="561">
        <f>O44+'T5C_Drought_PLAN_vs_PRFM  (2)'!L44</f>
        <v>485.06328000000002</v>
      </c>
      <c r="S44" s="561"/>
      <c r="T44" s="22"/>
      <c r="U44" s="22"/>
      <c r="V44" s="22"/>
      <c r="W44" s="22"/>
      <c r="X44" s="561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>
        <f t="shared" si="8"/>
        <v>2787.1320000000001</v>
      </c>
      <c r="AM44" s="22">
        <f t="shared" si="9"/>
        <v>1139.007944</v>
      </c>
      <c r="AN44" s="22"/>
      <c r="AO44" s="22">
        <f t="shared" si="10"/>
        <v>18580880</v>
      </c>
      <c r="AP44" s="22">
        <v>80090</v>
      </c>
      <c r="AQ44" s="22">
        <f t="shared" si="11"/>
        <v>18580880</v>
      </c>
      <c r="AR44" s="22">
        <f t="shared" si="12"/>
        <v>2787.1320000000001</v>
      </c>
      <c r="AS44" s="22">
        <f t="shared" si="13"/>
        <v>7.6429999999995744</v>
      </c>
      <c r="AT44" s="422">
        <v>2794.7749999999996</v>
      </c>
      <c r="AU44" s="464">
        <f t="shared" si="14"/>
        <v>3.6670000000003711</v>
      </c>
      <c r="AV44" s="464">
        <f t="shared" si="0"/>
        <v>2798.442</v>
      </c>
      <c r="AX44" s="480"/>
    </row>
    <row r="45" spans="1:50">
      <c r="A45" s="421"/>
      <c r="B45" s="389" t="s">
        <v>19</v>
      </c>
      <c r="C45" s="608">
        <f>SUM(C12:C44)</f>
        <v>34224</v>
      </c>
      <c r="D45" s="608">
        <f t="shared" ref="D45:H45" si="15">SUM(D12:D44)</f>
        <v>1651684</v>
      </c>
      <c r="E45" s="608">
        <f t="shared" si="15"/>
        <v>7656</v>
      </c>
      <c r="F45" s="608">
        <f t="shared" si="15"/>
        <v>383190688</v>
      </c>
      <c r="G45" s="608">
        <f t="shared" si="15"/>
        <v>34183</v>
      </c>
      <c r="H45" s="608">
        <f t="shared" si="15"/>
        <v>383239872</v>
      </c>
      <c r="I45" s="608">
        <v>232</v>
      </c>
      <c r="J45" s="29">
        <f t="shared" si="2"/>
        <v>1651896</v>
      </c>
      <c r="K45" s="22">
        <f t="shared" si="3"/>
        <v>-212</v>
      </c>
      <c r="L45" s="561">
        <f t="shared" si="4"/>
        <v>100.01283538497678</v>
      </c>
      <c r="M45" s="550">
        <f t="shared" si="5"/>
        <v>34224</v>
      </c>
      <c r="N45" s="561">
        <f>SUM(N12:N44)</f>
        <v>14982.755900799999</v>
      </c>
      <c r="O45" s="545">
        <f>SUM(O12:O44)</f>
        <v>9962.9578880000008</v>
      </c>
      <c r="P45" s="561"/>
      <c r="Q45" s="561"/>
      <c r="R45" s="561"/>
      <c r="S45" s="657"/>
      <c r="T45" s="638"/>
      <c r="U45" s="638"/>
      <c r="V45" s="22"/>
      <c r="W45" s="22"/>
      <c r="X45" s="561"/>
      <c r="Y45" s="609"/>
      <c r="Z45" s="609"/>
      <c r="AA45" s="609"/>
      <c r="AB45" s="609"/>
      <c r="AC45" s="609"/>
      <c r="AD45" s="609"/>
      <c r="AE45" s="609"/>
      <c r="AF45" s="609"/>
      <c r="AG45" s="22"/>
      <c r="AH45" s="22"/>
      <c r="AI45" s="609"/>
      <c r="AJ45" s="609"/>
      <c r="AK45" s="609"/>
      <c r="AL45" s="22">
        <f t="shared" si="8"/>
        <v>57485.980799999998</v>
      </c>
      <c r="AM45" s="22">
        <f t="shared" si="9"/>
        <v>23492.604153600001</v>
      </c>
      <c r="AN45" s="22"/>
      <c r="AO45" s="22">
        <f t="shared" si="10"/>
        <v>383239872</v>
      </c>
      <c r="AP45" s="22">
        <f>SUM(AP12:AP44)</f>
        <v>1646396</v>
      </c>
      <c r="AQ45" s="22"/>
      <c r="AR45" s="545">
        <f>SUM(AR12:AR44)</f>
        <v>57294.580800000011</v>
      </c>
      <c r="AS45" s="22">
        <f t="shared" si="13"/>
        <v>1420.4901999999929</v>
      </c>
      <c r="AT45" s="15">
        <f>SUM(AT12:AT44)</f>
        <v>58715.071000000004</v>
      </c>
      <c r="AU45" s="509">
        <f>SUM(AU12:AU44)</f>
        <v>-1236.4677999999999</v>
      </c>
      <c r="AV45" s="464">
        <f>SUM(AV12:AV44)</f>
        <v>57478.603200000012</v>
      </c>
      <c r="AX45" s="480"/>
    </row>
    <row r="46" spans="1:50">
      <c r="A46" s="11"/>
      <c r="B46" s="31"/>
      <c r="C46" s="31"/>
      <c r="D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</row>
    <row r="47" spans="1:50">
      <c r="A47" s="944" t="s">
        <v>874</v>
      </c>
      <c r="B47" s="944"/>
      <c r="C47" s="944"/>
      <c r="D47" s="944"/>
      <c r="E47" s="944"/>
      <c r="F47" s="944"/>
      <c r="G47" s="944"/>
      <c r="H47" s="944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</row>
    <row r="48" spans="1:50">
      <c r="A48" s="11"/>
      <c r="B48" s="31"/>
      <c r="C48" s="3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</row>
    <row r="49" spans="1:45" ht="15.75" customHeight="1">
      <c r="A49" s="14" t="s">
        <v>12</v>
      </c>
      <c r="B49" s="14"/>
      <c r="C49" s="14"/>
      <c r="D49" s="14"/>
      <c r="E49" s="14"/>
      <c r="F49" s="14"/>
      <c r="G49" s="14"/>
      <c r="I49" s="866" t="s">
        <v>13</v>
      </c>
      <c r="J49" s="866"/>
      <c r="K49" s="729"/>
      <c r="L49" s="729"/>
      <c r="M49" s="729"/>
      <c r="N49" s="640"/>
      <c r="O49" s="640"/>
      <c r="P49" s="640"/>
      <c r="Q49" s="640"/>
      <c r="R49" s="640"/>
      <c r="S49" s="640"/>
      <c r="T49" s="640"/>
      <c r="U49" s="640"/>
      <c r="V49" s="612"/>
      <c r="W49" s="612"/>
      <c r="X49" s="612"/>
      <c r="Y49" s="612"/>
      <c r="Z49" s="612"/>
      <c r="AA49" s="612"/>
      <c r="AB49" s="612"/>
      <c r="AC49" s="612"/>
      <c r="AD49" s="612"/>
      <c r="AE49" s="612"/>
      <c r="AF49" s="612"/>
      <c r="AG49" s="612"/>
      <c r="AH49" s="612"/>
      <c r="AI49" s="612"/>
      <c r="AJ49" s="612"/>
      <c r="AK49" s="612"/>
      <c r="AL49" s="496"/>
      <c r="AM49" s="496"/>
      <c r="AN49" s="496"/>
      <c r="AO49" s="496"/>
      <c r="AP49" s="496"/>
      <c r="AQ49" s="496"/>
      <c r="AR49" s="496"/>
      <c r="AS49" s="496"/>
    </row>
    <row r="50" spans="1:45" ht="12.75" customHeight="1">
      <c r="A50" s="871" t="s">
        <v>14</v>
      </c>
      <c r="B50" s="871"/>
      <c r="C50" s="871"/>
      <c r="D50" s="871"/>
      <c r="E50" s="871"/>
      <c r="F50" s="871"/>
      <c r="G50" s="871"/>
      <c r="H50" s="871"/>
      <c r="I50" s="871"/>
      <c r="J50" s="871"/>
      <c r="K50" s="730"/>
      <c r="L50" s="730"/>
      <c r="M50" s="730"/>
      <c r="N50" s="636"/>
      <c r="O50" s="636"/>
      <c r="P50" s="636"/>
      <c r="Q50" s="636"/>
      <c r="R50" s="636"/>
      <c r="S50" s="636"/>
      <c r="T50" s="636"/>
      <c r="U50" s="636"/>
      <c r="V50" s="607"/>
      <c r="W50" s="607"/>
      <c r="X50" s="607"/>
      <c r="Y50" s="607"/>
      <c r="Z50" s="607"/>
      <c r="AA50" s="607"/>
      <c r="AB50" s="607"/>
      <c r="AC50" s="607"/>
      <c r="AD50" s="607"/>
      <c r="AE50" s="607"/>
      <c r="AF50" s="607"/>
      <c r="AG50" s="607"/>
      <c r="AH50" s="607"/>
      <c r="AI50" s="607"/>
      <c r="AJ50" s="607"/>
      <c r="AK50" s="607"/>
      <c r="AL50" s="492"/>
      <c r="AM50" s="492"/>
      <c r="AN50" s="492"/>
      <c r="AO50" s="492"/>
      <c r="AP50" s="492"/>
      <c r="AQ50" s="492"/>
      <c r="AR50" s="492"/>
      <c r="AS50" s="492"/>
    </row>
    <row r="51" spans="1:45" ht="12.75" customHeight="1">
      <c r="A51" s="871" t="s">
        <v>20</v>
      </c>
      <c r="B51" s="871"/>
      <c r="C51" s="871"/>
      <c r="D51" s="871"/>
      <c r="E51" s="871"/>
      <c r="F51" s="871"/>
      <c r="G51" s="871"/>
      <c r="H51" s="871"/>
      <c r="I51" s="871"/>
      <c r="J51" s="871"/>
      <c r="K51" s="730"/>
      <c r="L51" s="730"/>
      <c r="M51" s="730"/>
      <c r="N51" s="636"/>
      <c r="O51" s="636"/>
      <c r="P51" s="636"/>
      <c r="Q51" s="636"/>
      <c r="R51" s="636"/>
      <c r="S51" s="636"/>
      <c r="T51" s="636"/>
      <c r="U51" s="636"/>
      <c r="V51" s="607"/>
      <c r="W51" s="607"/>
      <c r="X51" s="607"/>
      <c r="Y51" s="607"/>
      <c r="Z51" s="607"/>
      <c r="AA51" s="607"/>
      <c r="AB51" s="607"/>
      <c r="AC51" s="607"/>
      <c r="AD51" s="607"/>
      <c r="AE51" s="607"/>
      <c r="AF51" s="607"/>
      <c r="AG51" s="607"/>
      <c r="AH51" s="607"/>
      <c r="AI51" s="607"/>
      <c r="AJ51" s="607"/>
      <c r="AK51" s="607"/>
      <c r="AL51" s="492"/>
      <c r="AM51" s="492">
        <f>J45*232</f>
        <v>383239872</v>
      </c>
      <c r="AN51" s="492">
        <f>AM51*150/1000000</f>
        <v>57485.980799999998</v>
      </c>
      <c r="AO51" s="492"/>
      <c r="AP51" s="492"/>
      <c r="AQ51" s="492"/>
      <c r="AR51" s="492"/>
      <c r="AS51" s="492"/>
    </row>
    <row r="52" spans="1:45">
      <c r="A52" s="14"/>
      <c r="B52" s="14"/>
      <c r="C52" s="14"/>
      <c r="E52" s="14"/>
      <c r="H52" s="850" t="s">
        <v>87</v>
      </c>
      <c r="I52" s="850"/>
      <c r="J52" s="850"/>
      <c r="K52" s="727"/>
      <c r="L52" s="727"/>
      <c r="M52" s="727"/>
      <c r="N52" s="639"/>
      <c r="O52" s="639"/>
      <c r="P52" s="639"/>
      <c r="Q52" s="639"/>
      <c r="R52" s="639"/>
      <c r="S52" s="639"/>
      <c r="T52" s="639"/>
      <c r="U52" s="639"/>
      <c r="V52" s="611"/>
      <c r="W52" s="611"/>
      <c r="X52" s="611"/>
      <c r="Y52" s="611"/>
      <c r="Z52" s="611"/>
      <c r="AA52" s="611"/>
      <c r="AB52" s="611"/>
      <c r="AC52" s="611"/>
      <c r="AD52" s="611"/>
      <c r="AE52" s="611"/>
      <c r="AF52" s="611"/>
      <c r="AG52" s="611"/>
      <c r="AH52" s="611"/>
      <c r="AI52" s="611"/>
      <c r="AJ52" s="611"/>
      <c r="AK52" s="611"/>
      <c r="AL52" s="495"/>
      <c r="AM52" s="495"/>
      <c r="AN52" s="495"/>
      <c r="AO52" s="495"/>
      <c r="AP52" s="495"/>
      <c r="AQ52" s="495"/>
      <c r="AR52" s="495"/>
      <c r="AS52" s="495"/>
    </row>
    <row r="56" spans="1:45">
      <c r="A56" s="945"/>
      <c r="B56" s="945"/>
      <c r="C56" s="945"/>
      <c r="D56" s="945"/>
      <c r="E56" s="945"/>
      <c r="F56" s="945"/>
      <c r="G56" s="945"/>
      <c r="H56" s="945"/>
      <c r="I56" s="945"/>
      <c r="J56" s="945"/>
    </row>
    <row r="58" spans="1:45">
      <c r="A58" s="945"/>
      <c r="B58" s="945"/>
      <c r="C58" s="945"/>
      <c r="D58" s="945"/>
      <c r="E58" s="945"/>
      <c r="F58" s="945"/>
      <c r="G58" s="945"/>
      <c r="H58" s="945"/>
      <c r="I58" s="945"/>
      <c r="J58" s="945"/>
    </row>
  </sheetData>
  <mergeCells count="17"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  <mergeCell ref="A47:H4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58"/>
  <sheetViews>
    <sheetView view="pageBreakPreview" topLeftCell="A19" zoomScale="90" zoomScaleSheetLayoutView="90" workbookViewId="0">
      <selection activeCell="G37" sqref="G37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>
      <c r="E1" s="851"/>
      <c r="F1" s="851"/>
      <c r="G1" s="851"/>
      <c r="H1" s="851"/>
      <c r="I1" s="851"/>
      <c r="J1" s="149" t="s">
        <v>367</v>
      </c>
    </row>
    <row r="2" spans="1:16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6" customFormat="1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</row>
    <row r="4" spans="1:16" customFormat="1" ht="14.25" customHeight="1"/>
    <row r="5" spans="1:16" ht="19.5" customHeight="1">
      <c r="A5" s="933" t="s">
        <v>754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/>
    <row r="8" spans="1:16">
      <c r="A8" s="850" t="s">
        <v>922</v>
      </c>
      <c r="B8" s="850"/>
      <c r="C8" s="32"/>
      <c r="H8" s="922" t="s">
        <v>782</v>
      </c>
      <c r="I8" s="922"/>
      <c r="J8" s="922"/>
    </row>
    <row r="9" spans="1:16">
      <c r="A9" s="844" t="s">
        <v>2</v>
      </c>
      <c r="B9" s="844" t="s">
        <v>3</v>
      </c>
      <c r="C9" s="825" t="s">
        <v>755</v>
      </c>
      <c r="D9" s="856"/>
      <c r="E9" s="856"/>
      <c r="F9" s="826"/>
      <c r="G9" s="825" t="s">
        <v>108</v>
      </c>
      <c r="H9" s="856"/>
      <c r="I9" s="856"/>
      <c r="J9" s="826"/>
      <c r="O9" s="19"/>
      <c r="P9" s="22"/>
    </row>
    <row r="10" spans="1:16" ht="77.45" customHeight="1">
      <c r="A10" s="844"/>
      <c r="B10" s="844"/>
      <c r="C10" s="5" t="s">
        <v>187</v>
      </c>
      <c r="D10" s="5" t="s">
        <v>17</v>
      </c>
      <c r="E10" s="279" t="s">
        <v>783</v>
      </c>
      <c r="F10" s="7" t="s">
        <v>204</v>
      </c>
      <c r="G10" s="5" t="s">
        <v>187</v>
      </c>
      <c r="H10" s="26" t="s">
        <v>18</v>
      </c>
      <c r="I10" s="112" t="s">
        <v>872</v>
      </c>
      <c r="J10" s="5" t="s">
        <v>873</v>
      </c>
    </row>
    <row r="11" spans="1:16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16" ht="14.25">
      <c r="A12" s="18">
        <v>1</v>
      </c>
      <c r="B12" s="385" t="s">
        <v>889</v>
      </c>
      <c r="C12" s="19"/>
      <c r="D12" s="19"/>
      <c r="E12" s="19"/>
      <c r="F12" s="111"/>
      <c r="G12" s="19"/>
      <c r="H12" s="29"/>
      <c r="I12" s="29"/>
      <c r="J12" s="29"/>
    </row>
    <row r="13" spans="1:16" ht="14.25">
      <c r="A13" s="18">
        <v>2</v>
      </c>
      <c r="B13" s="385" t="s">
        <v>890</v>
      </c>
      <c r="C13" s="19"/>
      <c r="D13" s="19"/>
      <c r="E13" s="19"/>
      <c r="F13" s="28"/>
      <c r="G13" s="19"/>
      <c r="H13" s="29"/>
      <c r="I13" s="29"/>
      <c r="J13" s="29"/>
    </row>
    <row r="14" spans="1:16" ht="14.25">
      <c r="A14" s="18">
        <v>3</v>
      </c>
      <c r="B14" s="385" t="s">
        <v>891</v>
      </c>
      <c r="C14" s="19"/>
      <c r="D14" s="19"/>
      <c r="E14" s="19" t="s">
        <v>11</v>
      </c>
      <c r="F14" s="28"/>
      <c r="G14" s="19"/>
      <c r="H14" s="29"/>
      <c r="I14" s="29"/>
      <c r="J14" s="29"/>
    </row>
    <row r="15" spans="1:16" ht="14.25">
      <c r="A15" s="18">
        <v>4</v>
      </c>
      <c r="B15" s="385" t="s">
        <v>892</v>
      </c>
      <c r="C15" s="19"/>
      <c r="D15" s="19"/>
      <c r="E15" s="19"/>
      <c r="F15" s="28"/>
      <c r="G15" s="19"/>
      <c r="H15" s="29"/>
      <c r="I15" s="29"/>
      <c r="J15" s="29"/>
    </row>
    <row r="16" spans="1:16" ht="14.25">
      <c r="A16" s="18">
        <v>5</v>
      </c>
      <c r="B16" s="385" t="s">
        <v>893</v>
      </c>
      <c r="C16" s="19"/>
      <c r="D16" s="19"/>
      <c r="E16" s="19"/>
      <c r="F16" s="28"/>
      <c r="G16" s="19"/>
      <c r="H16" s="29"/>
      <c r="I16" s="29"/>
      <c r="J16" s="29"/>
    </row>
    <row r="17" spans="1:10" ht="14.25">
      <c r="A17" s="18">
        <v>6</v>
      </c>
      <c r="B17" s="385" t="s">
        <v>894</v>
      </c>
      <c r="C17" s="19"/>
      <c r="D17" s="19"/>
      <c r="E17" s="19"/>
      <c r="F17" s="28"/>
      <c r="G17" s="19"/>
      <c r="H17" s="29"/>
      <c r="I17" s="29"/>
      <c r="J17" s="29"/>
    </row>
    <row r="18" spans="1:10" ht="14.25">
      <c r="A18" s="18">
        <v>7</v>
      </c>
      <c r="B18" s="385" t="s">
        <v>895</v>
      </c>
      <c r="C18" s="19"/>
      <c r="D18" s="19"/>
      <c r="E18" s="19"/>
      <c r="F18" s="28"/>
      <c r="G18" s="19"/>
      <c r="H18" s="29"/>
      <c r="I18" s="29"/>
      <c r="J18" s="29"/>
    </row>
    <row r="19" spans="1:10" ht="14.25">
      <c r="A19" s="18">
        <v>8</v>
      </c>
      <c r="B19" s="385" t="s">
        <v>896</v>
      </c>
      <c r="C19" s="19"/>
      <c r="D19" s="19"/>
      <c r="E19" s="19"/>
      <c r="F19" s="28"/>
      <c r="G19" s="19"/>
      <c r="H19" s="29"/>
      <c r="I19" s="29"/>
      <c r="J19" s="29"/>
    </row>
    <row r="20" spans="1:10" ht="14.25">
      <c r="A20" s="18">
        <v>9</v>
      </c>
      <c r="B20" s="385" t="s">
        <v>897</v>
      </c>
      <c r="C20" s="19"/>
      <c r="D20" s="19"/>
      <c r="E20" s="19"/>
      <c r="F20" s="28"/>
      <c r="G20" s="19"/>
      <c r="H20" s="29"/>
      <c r="I20" s="29"/>
      <c r="J20" s="29"/>
    </row>
    <row r="21" spans="1:10" ht="14.25">
      <c r="A21" s="18">
        <v>10</v>
      </c>
      <c r="B21" s="385" t="s">
        <v>898</v>
      </c>
      <c r="C21" s="19"/>
      <c r="D21" s="19"/>
      <c r="E21" s="19"/>
      <c r="F21" s="28"/>
      <c r="G21" s="19"/>
      <c r="H21" s="29"/>
      <c r="I21" s="29"/>
      <c r="J21" s="29"/>
    </row>
    <row r="22" spans="1:10" ht="14.25">
      <c r="A22" s="18">
        <v>11</v>
      </c>
      <c r="B22" s="385" t="s">
        <v>899</v>
      </c>
      <c r="C22" s="19"/>
      <c r="D22" s="19"/>
      <c r="E22" s="19"/>
      <c r="F22" s="28"/>
      <c r="G22" s="19"/>
      <c r="H22" s="29"/>
      <c r="I22" s="29"/>
      <c r="J22" s="29"/>
    </row>
    <row r="23" spans="1:10" ht="14.25">
      <c r="A23" s="18">
        <v>12</v>
      </c>
      <c r="B23" s="385" t="s">
        <v>900</v>
      </c>
      <c r="C23" s="19"/>
      <c r="D23" s="19"/>
      <c r="E23" s="19"/>
      <c r="F23" s="28"/>
      <c r="G23" s="19"/>
      <c r="H23" s="29"/>
      <c r="I23" s="29"/>
      <c r="J23" s="29"/>
    </row>
    <row r="24" spans="1:10" ht="14.25">
      <c r="A24" s="18">
        <v>13</v>
      </c>
      <c r="B24" s="385" t="s">
        <v>901</v>
      </c>
      <c r="C24" s="19"/>
      <c r="D24" s="19"/>
      <c r="E24" s="19"/>
      <c r="F24" s="28"/>
      <c r="G24" s="19"/>
      <c r="H24" s="29"/>
      <c r="I24" s="29"/>
      <c r="J24" s="29"/>
    </row>
    <row r="25" spans="1:10" ht="14.25">
      <c r="A25" s="18">
        <v>14</v>
      </c>
      <c r="B25" s="385" t="s">
        <v>902</v>
      </c>
      <c r="C25" s="19"/>
      <c r="D25" s="19"/>
      <c r="E25" s="19"/>
      <c r="F25" s="28"/>
      <c r="G25" s="19"/>
      <c r="H25" s="29"/>
      <c r="I25" s="29"/>
      <c r="J25" s="29"/>
    </row>
    <row r="26" spans="1:10" s="541" customFormat="1" ht="14.25">
      <c r="A26" s="538">
        <v>15</v>
      </c>
      <c r="B26" s="385" t="s">
        <v>903</v>
      </c>
      <c r="C26" s="19"/>
      <c r="D26" s="19"/>
      <c r="E26" s="19"/>
      <c r="F26" s="28"/>
      <c r="G26" s="19"/>
      <c r="H26" s="29"/>
      <c r="I26" s="29"/>
      <c r="J26" s="29"/>
    </row>
    <row r="27" spans="1:10" s="541" customFormat="1" ht="14.25">
      <c r="A27" s="538">
        <v>16</v>
      </c>
      <c r="B27" s="385" t="s">
        <v>904</v>
      </c>
      <c r="C27" s="19"/>
      <c r="D27" s="19"/>
      <c r="E27" s="19"/>
      <c r="F27" s="28"/>
      <c r="G27" s="19"/>
      <c r="H27" s="29"/>
      <c r="I27" s="29"/>
      <c r="J27" s="29"/>
    </row>
    <row r="28" spans="1:10" s="541" customFormat="1" ht="14.25">
      <c r="A28" s="538">
        <v>17</v>
      </c>
      <c r="B28" s="385" t="s">
        <v>905</v>
      </c>
      <c r="C28" s="19"/>
      <c r="D28" s="19"/>
      <c r="E28" s="19"/>
      <c r="F28" s="28"/>
      <c r="G28" s="19"/>
      <c r="H28" s="29"/>
      <c r="I28" s="29"/>
      <c r="J28" s="29"/>
    </row>
    <row r="29" spans="1:10" s="541" customFormat="1" ht="14.25">
      <c r="A29" s="538">
        <v>18</v>
      </c>
      <c r="B29" s="385" t="s">
        <v>906</v>
      </c>
      <c r="C29" s="19"/>
      <c r="D29" s="19"/>
      <c r="E29" s="19"/>
      <c r="F29" s="28"/>
      <c r="G29" s="19"/>
      <c r="H29" s="29"/>
      <c r="I29" s="29"/>
      <c r="J29" s="29"/>
    </row>
    <row r="30" spans="1:10" s="541" customFormat="1" ht="14.25">
      <c r="A30" s="538">
        <v>19</v>
      </c>
      <c r="B30" s="385" t="s">
        <v>907</v>
      </c>
      <c r="C30" s="19"/>
      <c r="D30" s="19"/>
      <c r="E30" s="19"/>
      <c r="F30" s="28"/>
      <c r="G30" s="19"/>
      <c r="H30" s="29"/>
      <c r="I30" s="29"/>
      <c r="J30" s="29"/>
    </row>
    <row r="31" spans="1:10" s="541" customFormat="1" ht="14.25">
      <c r="A31" s="538">
        <v>20</v>
      </c>
      <c r="B31" s="385" t="s">
        <v>908</v>
      </c>
      <c r="C31" s="19"/>
      <c r="D31" s="19"/>
      <c r="E31" s="19"/>
      <c r="F31" s="28"/>
      <c r="G31" s="19"/>
      <c r="H31" s="29"/>
      <c r="I31" s="29"/>
      <c r="J31" s="29"/>
    </row>
    <row r="32" spans="1:10" s="541" customFormat="1" ht="14.25">
      <c r="A32" s="538">
        <v>21</v>
      </c>
      <c r="B32" s="385" t="s">
        <v>909</v>
      </c>
      <c r="C32" s="19"/>
      <c r="D32" s="19"/>
      <c r="E32" s="19"/>
      <c r="F32" s="28"/>
      <c r="G32" s="19"/>
      <c r="H32" s="29"/>
      <c r="I32" s="29"/>
      <c r="J32" s="29"/>
    </row>
    <row r="33" spans="1:10" s="541" customFormat="1" ht="14.25">
      <c r="A33" s="538">
        <v>22</v>
      </c>
      <c r="B33" s="385" t="s">
        <v>910</v>
      </c>
      <c r="C33" s="19"/>
      <c r="D33" s="19"/>
      <c r="E33" s="19"/>
      <c r="F33" s="28"/>
      <c r="G33" s="19"/>
      <c r="H33" s="29"/>
      <c r="I33" s="29"/>
      <c r="J33" s="29"/>
    </row>
    <row r="34" spans="1:10" s="541" customFormat="1" ht="14.25">
      <c r="A34" s="538">
        <v>23</v>
      </c>
      <c r="B34" s="385" t="s">
        <v>911</v>
      </c>
      <c r="C34" s="19"/>
      <c r="D34" s="19"/>
      <c r="E34" s="19"/>
      <c r="F34" s="28"/>
      <c r="G34" s="19"/>
      <c r="H34" s="29"/>
      <c r="I34" s="29"/>
      <c r="J34" s="29"/>
    </row>
    <row r="35" spans="1:10" s="541" customFormat="1" ht="14.25">
      <c r="A35" s="538">
        <v>24</v>
      </c>
      <c r="B35" s="385" t="s">
        <v>912</v>
      </c>
      <c r="C35" s="19"/>
      <c r="D35" s="19"/>
      <c r="E35" s="19"/>
      <c r="F35" s="28"/>
      <c r="G35" s="19"/>
      <c r="H35" s="29"/>
      <c r="I35" s="29"/>
      <c r="J35" s="29"/>
    </row>
    <row r="36" spans="1:10" s="541" customFormat="1" ht="14.25">
      <c r="A36" s="538">
        <v>25</v>
      </c>
      <c r="B36" s="385" t="s">
        <v>913</v>
      </c>
      <c r="C36" s="19"/>
      <c r="D36" s="19"/>
      <c r="E36" s="19"/>
      <c r="F36" s="28"/>
      <c r="G36" s="19"/>
      <c r="H36" s="29"/>
      <c r="I36" s="29"/>
      <c r="J36" s="29"/>
    </row>
    <row r="37" spans="1:10" s="541" customFormat="1" ht="14.25">
      <c r="A37" s="538">
        <v>26</v>
      </c>
      <c r="B37" s="385" t="s">
        <v>914</v>
      </c>
      <c r="C37" s="19"/>
      <c r="D37" s="19"/>
      <c r="E37" s="19"/>
      <c r="F37" s="28"/>
      <c r="G37" s="19"/>
      <c r="H37" s="29"/>
      <c r="I37" s="29"/>
      <c r="J37" s="29"/>
    </row>
    <row r="38" spans="1:10" s="541" customFormat="1" ht="14.25">
      <c r="A38" s="538">
        <v>27</v>
      </c>
      <c r="B38" s="385" t="s">
        <v>915</v>
      </c>
      <c r="C38" s="19"/>
      <c r="D38" s="19"/>
      <c r="E38" s="19"/>
      <c r="F38" s="28"/>
      <c r="G38" s="19"/>
      <c r="H38" s="29"/>
      <c r="I38" s="29"/>
      <c r="J38" s="29"/>
    </row>
    <row r="39" spans="1:10" s="541" customFormat="1" ht="14.25">
      <c r="A39" s="538">
        <v>28</v>
      </c>
      <c r="B39" s="385" t="s">
        <v>916</v>
      </c>
      <c r="C39" s="19"/>
      <c r="D39" s="19"/>
      <c r="E39" s="19"/>
      <c r="F39" s="28"/>
      <c r="G39" s="19"/>
      <c r="H39" s="29"/>
      <c r="I39" s="29"/>
      <c r="J39" s="29"/>
    </row>
    <row r="40" spans="1:10" s="541" customFormat="1" ht="14.25">
      <c r="A40" s="538">
        <v>29</v>
      </c>
      <c r="B40" s="385" t="s">
        <v>917</v>
      </c>
      <c r="C40" s="19"/>
      <c r="D40" s="19"/>
      <c r="E40" s="19"/>
      <c r="F40" s="28"/>
      <c r="G40" s="19"/>
      <c r="H40" s="29"/>
      <c r="I40" s="29"/>
      <c r="J40" s="29"/>
    </row>
    <row r="41" spans="1:10" s="541" customFormat="1" ht="14.25">
      <c r="A41" s="538">
        <v>30</v>
      </c>
      <c r="B41" s="385" t="s">
        <v>918</v>
      </c>
      <c r="C41" s="19"/>
      <c r="D41" s="19"/>
      <c r="E41" s="19"/>
      <c r="F41" s="28"/>
      <c r="G41" s="19"/>
      <c r="H41" s="29"/>
      <c r="I41" s="29"/>
      <c r="J41" s="29"/>
    </row>
    <row r="42" spans="1:10" s="541" customFormat="1" ht="14.25">
      <c r="A42" s="538">
        <v>31</v>
      </c>
      <c r="B42" s="385" t="s">
        <v>919</v>
      </c>
      <c r="C42" s="19"/>
      <c r="D42" s="19"/>
      <c r="E42" s="19"/>
      <c r="F42" s="28"/>
      <c r="G42" s="19"/>
      <c r="H42" s="29"/>
      <c r="I42" s="29"/>
      <c r="J42" s="29"/>
    </row>
    <row r="43" spans="1:10" s="541" customFormat="1" ht="14.25">
      <c r="A43" s="538">
        <v>32</v>
      </c>
      <c r="B43" s="385" t="s">
        <v>920</v>
      </c>
      <c r="C43" s="19"/>
      <c r="D43" s="19"/>
      <c r="E43" s="19"/>
      <c r="F43" s="28"/>
      <c r="G43" s="19"/>
      <c r="H43" s="29"/>
      <c r="I43" s="29"/>
      <c r="J43" s="29"/>
    </row>
    <row r="44" spans="1:10" ht="14.25">
      <c r="A44" s="538">
        <v>33</v>
      </c>
      <c r="B44" s="385" t="s">
        <v>921</v>
      </c>
      <c r="C44" s="19"/>
      <c r="D44" s="19"/>
      <c r="E44" s="19"/>
      <c r="F44" s="28"/>
      <c r="G44" s="19"/>
      <c r="H44" s="29"/>
      <c r="I44" s="29"/>
      <c r="J44" s="29"/>
    </row>
    <row r="45" spans="1:10">
      <c r="A45" s="3" t="s">
        <v>19</v>
      </c>
      <c r="B45" s="30"/>
      <c r="C45" s="30"/>
      <c r="D45" s="19"/>
      <c r="E45" s="19"/>
      <c r="F45" s="28"/>
      <c r="G45" s="19"/>
      <c r="H45" s="29"/>
      <c r="I45" s="29"/>
      <c r="J45" s="29"/>
    </row>
    <row r="46" spans="1:10">
      <c r="A46" s="11"/>
      <c r="B46" s="31"/>
      <c r="C46" s="31"/>
      <c r="D46" s="22"/>
      <c r="E46" s="22"/>
      <c r="F46" s="22"/>
      <c r="G46" s="22"/>
      <c r="H46" s="22"/>
      <c r="I46" s="22"/>
      <c r="J46" s="22"/>
    </row>
    <row r="47" spans="1:10">
      <c r="A47" s="944" t="s">
        <v>874</v>
      </c>
      <c r="B47" s="944"/>
      <c r="C47" s="944"/>
      <c r="D47" s="944"/>
      <c r="E47" s="944"/>
      <c r="F47" s="944"/>
      <c r="G47" s="944"/>
      <c r="H47" s="944"/>
      <c r="I47" s="22"/>
      <c r="J47" s="22"/>
    </row>
    <row r="48" spans="1:10">
      <c r="A48" s="11"/>
      <c r="B48" s="31"/>
      <c r="C48" s="31"/>
      <c r="D48" s="22"/>
      <c r="E48" s="22"/>
      <c r="F48" s="22"/>
      <c r="G48" s="22"/>
      <c r="H48" s="22"/>
      <c r="I48" s="22"/>
      <c r="J48" s="22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866" t="s">
        <v>13</v>
      </c>
      <c r="J49" s="866"/>
    </row>
    <row r="50" spans="1:10" ht="12.75" customHeight="1">
      <c r="A50" s="871" t="s">
        <v>14</v>
      </c>
      <c r="B50" s="871"/>
      <c r="C50" s="871"/>
      <c r="D50" s="871"/>
      <c r="E50" s="871"/>
      <c r="F50" s="871"/>
      <c r="G50" s="871"/>
      <c r="H50" s="871"/>
      <c r="I50" s="871"/>
      <c r="J50" s="871"/>
    </row>
    <row r="51" spans="1:10" ht="12.75" customHeight="1">
      <c r="A51" s="871" t="s">
        <v>20</v>
      </c>
      <c r="B51" s="871"/>
      <c r="C51" s="871"/>
      <c r="D51" s="871"/>
      <c r="E51" s="871"/>
      <c r="F51" s="871"/>
      <c r="G51" s="871"/>
      <c r="H51" s="871"/>
      <c r="I51" s="871"/>
      <c r="J51" s="871"/>
    </row>
    <row r="52" spans="1:10">
      <c r="A52" s="14"/>
      <c r="B52" s="14"/>
      <c r="C52" s="14"/>
      <c r="E52" s="14"/>
      <c r="H52" s="850" t="s">
        <v>87</v>
      </c>
      <c r="I52" s="850"/>
      <c r="J52" s="850"/>
    </row>
    <row r="56" spans="1:10">
      <c r="A56" s="945"/>
      <c r="B56" s="945"/>
      <c r="C56" s="945"/>
      <c r="D56" s="945"/>
      <c r="E56" s="945"/>
      <c r="F56" s="945"/>
      <c r="G56" s="945"/>
      <c r="H56" s="945"/>
      <c r="I56" s="945"/>
      <c r="J56" s="945"/>
    </row>
    <row r="58" spans="1:10">
      <c r="A58" s="945"/>
      <c r="B58" s="945"/>
      <c r="C58" s="945"/>
      <c r="D58" s="945"/>
      <c r="E58" s="945"/>
      <c r="F58" s="945"/>
      <c r="G58" s="945"/>
      <c r="H58" s="945"/>
      <c r="I58" s="945"/>
      <c r="J58" s="945"/>
    </row>
  </sheetData>
  <mergeCells count="17">
    <mergeCell ref="E1:I1"/>
    <mergeCell ref="A2:J2"/>
    <mergeCell ref="A3:J3"/>
    <mergeCell ref="A5:J5"/>
    <mergeCell ref="A8:B8"/>
    <mergeCell ref="H8:J8"/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  <mergeCell ref="A47:H47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T58"/>
  <sheetViews>
    <sheetView view="pageBreakPreview" topLeftCell="A25" zoomScale="90" zoomScaleSheetLayoutView="90" workbookViewId="0">
      <selection activeCell="J55" sqref="J55"/>
    </sheetView>
  </sheetViews>
  <sheetFormatPr defaultRowHeight="12.75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20" customFormat="1">
      <c r="E1" s="851"/>
      <c r="F1" s="851"/>
      <c r="G1" s="851"/>
      <c r="H1" s="851"/>
      <c r="I1" s="851"/>
      <c r="J1" s="149" t="s">
        <v>366</v>
      </c>
    </row>
    <row r="2" spans="1:20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20" customFormat="1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</row>
    <row r="4" spans="1:20" customFormat="1" ht="14.25" customHeight="1"/>
    <row r="5" spans="1:20" ht="31.5" customHeight="1">
      <c r="A5" s="933" t="s">
        <v>756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2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20" ht="0.75" customHeight="1"/>
    <row r="8" spans="1:20">
      <c r="A8" s="850" t="s">
        <v>922</v>
      </c>
      <c r="B8" s="850"/>
      <c r="C8" s="32"/>
      <c r="H8" s="922" t="s">
        <v>782</v>
      </c>
      <c r="I8" s="922"/>
      <c r="J8" s="922"/>
    </row>
    <row r="9" spans="1:20">
      <c r="A9" s="844" t="s">
        <v>2</v>
      </c>
      <c r="B9" s="844" t="s">
        <v>3</v>
      </c>
      <c r="C9" s="825" t="s">
        <v>752</v>
      </c>
      <c r="D9" s="856"/>
      <c r="E9" s="856"/>
      <c r="F9" s="826"/>
      <c r="G9" s="825" t="s">
        <v>108</v>
      </c>
      <c r="H9" s="856"/>
      <c r="I9" s="856"/>
      <c r="J9" s="826"/>
      <c r="O9" s="19"/>
      <c r="P9" s="22"/>
    </row>
    <row r="10" spans="1:20" ht="53.25" customHeight="1">
      <c r="A10" s="844"/>
      <c r="B10" s="844"/>
      <c r="C10" s="5" t="s">
        <v>187</v>
      </c>
      <c r="D10" s="5" t="s">
        <v>17</v>
      </c>
      <c r="E10" s="279" t="s">
        <v>368</v>
      </c>
      <c r="F10" s="7" t="s">
        <v>204</v>
      </c>
      <c r="G10" s="5" t="s">
        <v>187</v>
      </c>
      <c r="H10" s="26" t="s">
        <v>18</v>
      </c>
      <c r="I10" s="112" t="s">
        <v>872</v>
      </c>
      <c r="J10" s="5" t="s">
        <v>873</v>
      </c>
    </row>
    <row r="11" spans="1:20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8">
        <v>8</v>
      </c>
      <c r="I11" s="5">
        <v>9</v>
      </c>
      <c r="J11" s="5">
        <v>10</v>
      </c>
    </row>
    <row r="12" spans="1:20" s="707" customFormat="1">
      <c r="A12" s="699">
        <v>1</v>
      </c>
      <c r="B12" s="699"/>
      <c r="C12" s="699"/>
      <c r="D12" s="699"/>
      <c r="E12" s="699"/>
      <c r="F12" s="706"/>
      <c r="G12" s="699"/>
      <c r="H12" s="698"/>
      <c r="I12" s="698"/>
      <c r="J12" s="698"/>
      <c r="K12" s="561">
        <f>D12*E12*2.48/100000</f>
        <v>0</v>
      </c>
      <c r="L12" s="561">
        <f>E12*D12*1.65/100000</f>
        <v>0</v>
      </c>
      <c r="M12" s="707">
        <f>K12-L12</f>
        <v>0</v>
      </c>
      <c r="N12" s="464">
        <f>M12+T5_PLAN_vs_PRFM!R12</f>
        <v>606.28901039999994</v>
      </c>
      <c r="O12" s="707">
        <f>L12+T5_PLAN_vs_PRFM!Q12</f>
        <v>404.19267359999998</v>
      </c>
      <c r="P12" s="464">
        <f>22.89/2678*C12</f>
        <v>0</v>
      </c>
      <c r="Q12" s="464">
        <f>O12+P12</f>
        <v>404.19267359999998</v>
      </c>
      <c r="R12" s="707">
        <v>66.754480807123059</v>
      </c>
      <c r="S12" s="464">
        <f>36.43/2678*C12</f>
        <v>0</v>
      </c>
      <c r="T12" s="464">
        <f>R12+S12</f>
        <v>66.754480807123059</v>
      </c>
    </row>
    <row r="13" spans="1:20" s="707" customFormat="1">
      <c r="A13" s="699">
        <v>2</v>
      </c>
      <c r="B13" s="699"/>
      <c r="C13" s="699"/>
      <c r="D13" s="699"/>
      <c r="E13" s="699"/>
      <c r="F13" s="706"/>
      <c r="G13" s="699"/>
      <c r="H13" s="698"/>
      <c r="I13" s="698"/>
      <c r="J13" s="698"/>
      <c r="K13" s="561">
        <f t="shared" ref="K13:K44" si="0">D13*E13*2.48/100000</f>
        <v>0</v>
      </c>
      <c r="L13" s="561">
        <f t="shared" ref="L13:L44" si="1">E13*D13*1.65/100000</f>
        <v>0</v>
      </c>
      <c r="M13" s="707">
        <f t="shared" ref="M13:M45" si="2">K13-L13</f>
        <v>0</v>
      </c>
      <c r="N13" s="464">
        <f>M13+T5_PLAN_vs_PRFM!R13</f>
        <v>785.18383919999997</v>
      </c>
      <c r="O13" s="707">
        <f>L13+T5_PLAN_vs_PRFM!Q13</f>
        <v>523.45589280000002</v>
      </c>
      <c r="P13" s="464">
        <f t="shared" ref="P13:P44" si="3">22.89/2678*C13</f>
        <v>0</v>
      </c>
      <c r="Q13" s="464">
        <f t="shared" ref="Q13:Q44" si="4">O13+P13</f>
        <v>523.45589280000002</v>
      </c>
      <c r="R13" s="707">
        <v>349.42152920784008</v>
      </c>
      <c r="S13" s="464">
        <f t="shared" ref="S13:S44" si="5">36.43/2678*C13</f>
        <v>0</v>
      </c>
      <c r="T13" s="464">
        <f t="shared" ref="T13:T44" si="6">R13+S13</f>
        <v>349.42152920784008</v>
      </c>
    </row>
    <row r="14" spans="1:20" s="707" customFormat="1">
      <c r="A14" s="699">
        <v>3</v>
      </c>
      <c r="B14" s="699"/>
      <c r="C14" s="699"/>
      <c r="D14" s="699"/>
      <c r="E14" s="699"/>
      <c r="F14" s="706"/>
      <c r="G14" s="699"/>
      <c r="H14" s="698"/>
      <c r="I14" s="698"/>
      <c r="J14" s="698"/>
      <c r="K14" s="561">
        <f t="shared" si="0"/>
        <v>0</v>
      </c>
      <c r="L14" s="561">
        <f t="shared" si="1"/>
        <v>0</v>
      </c>
      <c r="M14" s="707">
        <f t="shared" si="2"/>
        <v>0</v>
      </c>
      <c r="N14" s="464">
        <f>M14+T5_PLAN_vs_PRFM!R14</f>
        <v>824.86356479999995</v>
      </c>
      <c r="O14" s="707">
        <f>L14+T5_PLAN_vs_PRFM!Q14</f>
        <v>549.90904320000004</v>
      </c>
      <c r="P14" s="464">
        <f t="shared" si="3"/>
        <v>0</v>
      </c>
      <c r="Q14" s="464">
        <f t="shared" si="4"/>
        <v>549.90904320000004</v>
      </c>
      <c r="R14" s="707">
        <v>215.91256759359396</v>
      </c>
      <c r="S14" s="464">
        <f t="shared" si="5"/>
        <v>0</v>
      </c>
      <c r="T14" s="464">
        <f t="shared" si="6"/>
        <v>215.91256759359396</v>
      </c>
    </row>
    <row r="15" spans="1:20" s="707" customFormat="1">
      <c r="A15" s="699">
        <v>4</v>
      </c>
      <c r="B15" s="699"/>
      <c r="C15" s="699"/>
      <c r="D15" s="699"/>
      <c r="E15" s="699"/>
      <c r="F15" s="706"/>
      <c r="G15" s="699"/>
      <c r="H15" s="698"/>
      <c r="I15" s="698"/>
      <c r="J15" s="698"/>
      <c r="K15" s="561">
        <f t="shared" si="0"/>
        <v>0</v>
      </c>
      <c r="L15" s="561">
        <f t="shared" si="1"/>
        <v>0</v>
      </c>
      <c r="M15" s="707">
        <f t="shared" si="2"/>
        <v>0</v>
      </c>
      <c r="N15" s="464">
        <f>M15+T5_PLAN_vs_PRFM!R15</f>
        <v>479.662668</v>
      </c>
      <c r="O15" s="707">
        <f>L15+T5_PLAN_vs_PRFM!Q15</f>
        <v>319.77511199999998</v>
      </c>
      <c r="P15" s="464">
        <f t="shared" si="3"/>
        <v>0</v>
      </c>
      <c r="Q15" s="464">
        <f t="shared" si="4"/>
        <v>319.77511199999998</v>
      </c>
      <c r="R15" s="707">
        <v>88.375977421887725</v>
      </c>
      <c r="S15" s="464">
        <f t="shared" si="5"/>
        <v>0</v>
      </c>
      <c r="T15" s="464">
        <f t="shared" si="6"/>
        <v>88.375977421887725</v>
      </c>
    </row>
    <row r="16" spans="1:20" ht="14.25">
      <c r="A16" s="699">
        <v>5</v>
      </c>
      <c r="B16" s="424" t="s">
        <v>893</v>
      </c>
      <c r="C16" s="19">
        <v>946</v>
      </c>
      <c r="D16" s="425">
        <v>189200</v>
      </c>
      <c r="E16" s="421">
        <v>40</v>
      </c>
      <c r="F16" s="427">
        <f>D16*E16</f>
        <v>7568000</v>
      </c>
      <c r="G16" s="19">
        <v>946</v>
      </c>
      <c r="H16" s="29">
        <v>2951520</v>
      </c>
      <c r="I16" s="476">
        <v>40</v>
      </c>
      <c r="J16" s="29">
        <f>H16/I16</f>
        <v>73788</v>
      </c>
      <c r="K16" s="561">
        <f t="shared" si="0"/>
        <v>187.68639999999999</v>
      </c>
      <c r="L16" s="561">
        <f t="shared" si="1"/>
        <v>124.872</v>
      </c>
      <c r="M16" s="707">
        <f t="shared" si="2"/>
        <v>62.814399999999992</v>
      </c>
      <c r="N16" s="464">
        <f>M16+T5_PLAN_vs_PRFM!R16</f>
        <v>1509.1286167999999</v>
      </c>
      <c r="O16" s="707">
        <f>L16+T5_PLAN_vs_PRFM!Q16</f>
        <v>963.95721119999996</v>
      </c>
      <c r="P16" s="464">
        <f t="shared" si="3"/>
        <v>8.0858625840179243</v>
      </c>
      <c r="Q16" s="464">
        <f t="shared" si="4"/>
        <v>972.04307378401791</v>
      </c>
      <c r="R16" s="15">
        <v>370.58942799152572</v>
      </c>
      <c r="S16" s="464">
        <f t="shared" si="5"/>
        <v>12.868849887976101</v>
      </c>
      <c r="T16" s="464">
        <f t="shared" si="6"/>
        <v>383.45827787950185</v>
      </c>
    </row>
    <row r="17" spans="1:20" s="707" customFormat="1" ht="14.25">
      <c r="A17" s="699">
        <v>6</v>
      </c>
      <c r="B17" s="424"/>
      <c r="C17" s="19"/>
      <c r="D17" s="425"/>
      <c r="E17" s="704"/>
      <c r="F17" s="427"/>
      <c r="G17" s="19"/>
      <c r="H17" s="29"/>
      <c r="I17" s="703"/>
      <c r="J17" s="29"/>
      <c r="K17" s="561">
        <f t="shared" si="0"/>
        <v>0</v>
      </c>
      <c r="L17" s="561">
        <f t="shared" si="1"/>
        <v>0</v>
      </c>
      <c r="M17" s="707">
        <f t="shared" si="2"/>
        <v>0</v>
      </c>
      <c r="N17" s="464">
        <f>M17+T5_PLAN_vs_PRFM!R17</f>
        <v>549.7758288</v>
      </c>
      <c r="O17" s="707">
        <f>L17+T5_PLAN_vs_PRFM!Q17</f>
        <v>366.5172192</v>
      </c>
      <c r="P17" s="464">
        <f t="shared" si="3"/>
        <v>0</v>
      </c>
      <c r="Q17" s="464">
        <f t="shared" si="4"/>
        <v>366.5172192</v>
      </c>
      <c r="R17" s="707">
        <v>253.71238685017553</v>
      </c>
      <c r="S17" s="464">
        <f t="shared" si="5"/>
        <v>0</v>
      </c>
      <c r="T17" s="464">
        <f t="shared" si="6"/>
        <v>253.71238685017553</v>
      </c>
    </row>
    <row r="18" spans="1:20" ht="14.25">
      <c r="A18" s="699">
        <v>7</v>
      </c>
      <c r="B18" s="424" t="s">
        <v>895</v>
      </c>
      <c r="C18" s="19">
        <v>319</v>
      </c>
      <c r="D18" s="425">
        <v>63900</v>
      </c>
      <c r="E18" s="421">
        <v>40</v>
      </c>
      <c r="F18" s="427">
        <f t="shared" ref="F18:F40" si="7">D18*E18</f>
        <v>2556000</v>
      </c>
      <c r="G18" s="19">
        <v>319</v>
      </c>
      <c r="H18" s="29">
        <v>1047960</v>
      </c>
      <c r="I18" s="476">
        <v>40</v>
      </c>
      <c r="J18" s="29">
        <f t="shared" ref="J18:J45" si="8">H18/I18</f>
        <v>26199</v>
      </c>
      <c r="K18" s="561">
        <f t="shared" si="0"/>
        <v>63.388800000000003</v>
      </c>
      <c r="L18" s="561">
        <f t="shared" si="1"/>
        <v>42.173999999999999</v>
      </c>
      <c r="M18" s="707">
        <f t="shared" si="2"/>
        <v>21.214800000000004</v>
      </c>
      <c r="N18" s="464">
        <f>M18+T5_PLAN_vs_PRFM!R18</f>
        <v>921.63811679999981</v>
      </c>
      <c r="O18" s="707">
        <f>L18+T5_PLAN_vs_PRFM!Q18</f>
        <v>600.19701119999991</v>
      </c>
      <c r="P18" s="464">
        <f t="shared" si="3"/>
        <v>2.726628080657207</v>
      </c>
      <c r="Q18" s="464">
        <f t="shared" si="4"/>
        <v>602.92363928065708</v>
      </c>
      <c r="R18" s="15">
        <v>231.25929421176608</v>
      </c>
      <c r="S18" s="464">
        <f t="shared" si="5"/>
        <v>4.339495892457057</v>
      </c>
      <c r="T18" s="464">
        <f t="shared" si="6"/>
        <v>235.59879010422313</v>
      </c>
    </row>
    <row r="19" spans="1:20" ht="14.25">
      <c r="A19" s="699">
        <v>8</v>
      </c>
      <c r="B19" s="424" t="s">
        <v>896</v>
      </c>
      <c r="C19" s="19">
        <v>58</v>
      </c>
      <c r="D19" s="425">
        <v>9400</v>
      </c>
      <c r="E19" s="421">
        <v>40</v>
      </c>
      <c r="F19" s="427">
        <f t="shared" si="7"/>
        <v>376000</v>
      </c>
      <c r="G19" s="19">
        <v>58</v>
      </c>
      <c r="H19" s="29">
        <v>150400</v>
      </c>
      <c r="I19" s="476">
        <v>40</v>
      </c>
      <c r="J19" s="29">
        <f t="shared" si="8"/>
        <v>3760</v>
      </c>
      <c r="K19" s="561">
        <f t="shared" si="0"/>
        <v>9.3247999999999998</v>
      </c>
      <c r="L19" s="561">
        <f t="shared" si="1"/>
        <v>6.2039999999999997</v>
      </c>
      <c r="M19" s="707">
        <f t="shared" si="2"/>
        <v>3.1208</v>
      </c>
      <c r="N19" s="464">
        <f>M19+T5_PLAN_vs_PRFM!R19</f>
        <v>582.34285839999995</v>
      </c>
      <c r="O19" s="707">
        <f>L19+T5_PLAN_vs_PRFM!Q19</f>
        <v>386.13550560000004</v>
      </c>
      <c r="P19" s="464">
        <f t="shared" si="3"/>
        <v>0.4957505601194922</v>
      </c>
      <c r="Q19" s="464">
        <f t="shared" si="4"/>
        <v>386.63125616011956</v>
      </c>
      <c r="R19" s="15">
        <v>257.49236877583365</v>
      </c>
      <c r="S19" s="464">
        <f t="shared" si="5"/>
        <v>0.78899925317401043</v>
      </c>
      <c r="T19" s="464">
        <f t="shared" si="6"/>
        <v>258.28136802900764</v>
      </c>
    </row>
    <row r="20" spans="1:20" s="707" customFormat="1" ht="14.25">
      <c r="A20" s="699">
        <v>9</v>
      </c>
      <c r="B20" s="424"/>
      <c r="C20" s="19"/>
      <c r="D20" s="425"/>
      <c r="E20" s="704"/>
      <c r="F20" s="427"/>
      <c r="G20" s="19"/>
      <c r="H20" s="29"/>
      <c r="I20" s="703"/>
      <c r="J20" s="29"/>
      <c r="K20" s="561">
        <f t="shared" si="0"/>
        <v>0</v>
      </c>
      <c r="L20" s="561">
        <f t="shared" si="1"/>
        <v>0</v>
      </c>
      <c r="M20" s="707">
        <f t="shared" si="2"/>
        <v>0</v>
      </c>
      <c r="N20" s="464">
        <f>M20+T5_PLAN_vs_PRFM!R20</f>
        <v>366.95117519999997</v>
      </c>
      <c r="O20" s="707">
        <f>L20+T5_PLAN_vs_PRFM!Q20</f>
        <v>244.63411679999999</v>
      </c>
      <c r="P20" s="464">
        <f t="shared" si="3"/>
        <v>0</v>
      </c>
      <c r="Q20" s="464">
        <f t="shared" si="4"/>
        <v>244.63411679999999</v>
      </c>
      <c r="R20" s="707">
        <v>100.69871849953331</v>
      </c>
      <c r="S20" s="464">
        <f t="shared" si="5"/>
        <v>0</v>
      </c>
      <c r="T20" s="464">
        <f t="shared" si="6"/>
        <v>100.69871849953331</v>
      </c>
    </row>
    <row r="21" spans="1:20" s="707" customFormat="1" ht="14.25">
      <c r="A21" s="699">
        <v>10</v>
      </c>
      <c r="B21" s="424"/>
      <c r="C21" s="19"/>
      <c r="D21" s="425"/>
      <c r="E21" s="704"/>
      <c r="F21" s="427"/>
      <c r="G21" s="19"/>
      <c r="H21" s="29"/>
      <c r="I21" s="703"/>
      <c r="J21" s="29"/>
      <c r="K21" s="561">
        <f t="shared" si="0"/>
        <v>0</v>
      </c>
      <c r="L21" s="561">
        <f t="shared" si="1"/>
        <v>0</v>
      </c>
      <c r="M21" s="707">
        <f t="shared" si="2"/>
        <v>0</v>
      </c>
      <c r="N21" s="464">
        <f>M21+T5_PLAN_vs_PRFM!R21</f>
        <v>408.44746079999999</v>
      </c>
      <c r="O21" s="707">
        <f>L21+T5_PLAN_vs_PRFM!Q21</f>
        <v>272.29830720000001</v>
      </c>
      <c r="P21" s="464">
        <f t="shared" si="3"/>
        <v>0</v>
      </c>
      <c r="Q21" s="464">
        <f t="shared" si="4"/>
        <v>272.29830720000001</v>
      </c>
      <c r="R21" s="707">
        <v>101.45471488466494</v>
      </c>
      <c r="S21" s="464">
        <f t="shared" si="5"/>
        <v>0</v>
      </c>
      <c r="T21" s="464">
        <f t="shared" si="6"/>
        <v>101.45471488466494</v>
      </c>
    </row>
    <row r="22" spans="1:20" ht="14.25">
      <c r="A22" s="699">
        <v>11</v>
      </c>
      <c r="B22" s="424" t="s">
        <v>899</v>
      </c>
      <c r="C22" s="19">
        <v>95</v>
      </c>
      <c r="D22" s="425">
        <v>20500</v>
      </c>
      <c r="E22" s="421">
        <v>40</v>
      </c>
      <c r="F22" s="427">
        <f t="shared" si="7"/>
        <v>820000</v>
      </c>
      <c r="G22" s="19">
        <v>95</v>
      </c>
      <c r="H22" s="29">
        <v>286999.99999999994</v>
      </c>
      <c r="I22" s="476">
        <v>40</v>
      </c>
      <c r="J22" s="29">
        <f t="shared" si="8"/>
        <v>7174.9999999999982</v>
      </c>
      <c r="K22" s="561">
        <f t="shared" si="0"/>
        <v>20.335999999999999</v>
      </c>
      <c r="L22" s="561">
        <f t="shared" si="1"/>
        <v>13.53</v>
      </c>
      <c r="M22" s="707">
        <f t="shared" si="2"/>
        <v>6.8059999999999992</v>
      </c>
      <c r="N22" s="464">
        <f>M22+T5_PLAN_vs_PRFM!R22</f>
        <v>533.84113600000001</v>
      </c>
      <c r="O22" s="707">
        <f>L22+T5_PLAN_vs_PRFM!Q22</f>
        <v>351.32942399999996</v>
      </c>
      <c r="P22" s="464">
        <f t="shared" si="3"/>
        <v>0.81200522778192685</v>
      </c>
      <c r="Q22" s="464">
        <f t="shared" si="4"/>
        <v>352.14142922778188</v>
      </c>
      <c r="R22" s="15">
        <v>98.884327175217393</v>
      </c>
      <c r="S22" s="464">
        <f t="shared" si="5"/>
        <v>1.2923263629574309</v>
      </c>
      <c r="T22" s="464">
        <f t="shared" si="6"/>
        <v>100.17665353817482</v>
      </c>
    </row>
    <row r="23" spans="1:20" s="707" customFormat="1" ht="14.25">
      <c r="A23" s="699">
        <v>12</v>
      </c>
      <c r="B23" s="424"/>
      <c r="C23" s="19"/>
      <c r="D23" s="425"/>
      <c r="E23" s="704"/>
      <c r="F23" s="427"/>
      <c r="G23" s="19"/>
      <c r="H23" s="29"/>
      <c r="I23" s="703"/>
      <c r="J23" s="29"/>
      <c r="K23" s="561">
        <f t="shared" si="0"/>
        <v>0</v>
      </c>
      <c r="L23" s="561">
        <f t="shared" si="1"/>
        <v>0</v>
      </c>
      <c r="M23" s="707">
        <f t="shared" si="2"/>
        <v>0</v>
      </c>
      <c r="N23" s="464">
        <f>M23+T5_PLAN_vs_PRFM!R23</f>
        <v>392.80687920000003</v>
      </c>
      <c r="O23" s="707">
        <f>L23+T5_PLAN_vs_PRFM!Q23</f>
        <v>261.87125280000004</v>
      </c>
      <c r="P23" s="464">
        <f t="shared" si="3"/>
        <v>0</v>
      </c>
      <c r="Q23" s="464">
        <f t="shared" si="4"/>
        <v>261.87125280000004</v>
      </c>
      <c r="R23" s="707">
        <v>133.88695980681194</v>
      </c>
      <c r="S23" s="464">
        <f t="shared" si="5"/>
        <v>0</v>
      </c>
      <c r="T23" s="464">
        <f t="shared" si="6"/>
        <v>133.88695980681194</v>
      </c>
    </row>
    <row r="24" spans="1:20" s="707" customFormat="1" ht="14.25">
      <c r="A24" s="699">
        <v>13</v>
      </c>
      <c r="B24" s="424"/>
      <c r="C24" s="19"/>
      <c r="D24" s="425"/>
      <c r="E24" s="704"/>
      <c r="F24" s="427"/>
      <c r="G24" s="19"/>
      <c r="H24" s="29"/>
      <c r="I24" s="703"/>
      <c r="J24" s="29"/>
      <c r="K24" s="561">
        <f t="shared" si="0"/>
        <v>0</v>
      </c>
      <c r="L24" s="561">
        <f t="shared" si="1"/>
        <v>0</v>
      </c>
      <c r="M24" s="707">
        <f t="shared" si="2"/>
        <v>0</v>
      </c>
      <c r="N24" s="464">
        <f>M24+T5_PLAN_vs_PRFM!R24</f>
        <v>382.64625359999997</v>
      </c>
      <c r="O24" s="707">
        <f>L24+T5_PLAN_vs_PRFM!Q24</f>
        <v>255.0975024</v>
      </c>
      <c r="P24" s="464">
        <f t="shared" si="3"/>
        <v>0</v>
      </c>
      <c r="Q24" s="464">
        <f t="shared" si="4"/>
        <v>255.0975024</v>
      </c>
      <c r="R24" s="707">
        <v>77.262830560452741</v>
      </c>
      <c r="S24" s="464">
        <f t="shared" si="5"/>
        <v>0</v>
      </c>
      <c r="T24" s="464">
        <f t="shared" si="6"/>
        <v>77.262830560452741</v>
      </c>
    </row>
    <row r="25" spans="1:20" ht="14.25">
      <c r="A25" s="699">
        <v>14</v>
      </c>
      <c r="B25" s="424" t="s">
        <v>902</v>
      </c>
      <c r="C25" s="19">
        <v>53</v>
      </c>
      <c r="D25" s="425">
        <v>10600</v>
      </c>
      <c r="E25" s="421">
        <v>40</v>
      </c>
      <c r="F25" s="427">
        <f t="shared" si="7"/>
        <v>424000</v>
      </c>
      <c r="G25" s="19">
        <v>53</v>
      </c>
      <c r="H25" s="29">
        <v>161120</v>
      </c>
      <c r="I25" s="476">
        <v>40</v>
      </c>
      <c r="J25" s="29">
        <f t="shared" si="8"/>
        <v>4028</v>
      </c>
      <c r="K25" s="561">
        <f t="shared" si="0"/>
        <v>10.5152</v>
      </c>
      <c r="L25" s="561">
        <f t="shared" si="1"/>
        <v>6.9960000000000004</v>
      </c>
      <c r="M25" s="707">
        <f t="shared" si="2"/>
        <v>3.5191999999999997</v>
      </c>
      <c r="N25" s="464">
        <f>M25+T5_PLAN_vs_PRFM!R25</f>
        <v>675.53472399999998</v>
      </c>
      <c r="O25" s="707">
        <f>L25+T5_PLAN_vs_PRFM!Q25</f>
        <v>447.996216</v>
      </c>
      <c r="P25" s="464">
        <f t="shared" si="3"/>
        <v>0.45301344286781187</v>
      </c>
      <c r="Q25" s="464">
        <f t="shared" si="4"/>
        <v>448.44922944286782</v>
      </c>
      <c r="R25" s="15">
        <v>143.33691462095732</v>
      </c>
      <c r="S25" s="464">
        <f t="shared" si="5"/>
        <v>0.72098207617625087</v>
      </c>
      <c r="T25" s="464">
        <f t="shared" si="6"/>
        <v>144.05789669713357</v>
      </c>
    </row>
    <row r="26" spans="1:20" ht="14.25">
      <c r="A26" s="699">
        <v>15</v>
      </c>
      <c r="B26" s="424" t="s">
        <v>903</v>
      </c>
      <c r="C26" s="19">
        <v>16</v>
      </c>
      <c r="D26" s="425">
        <v>2500</v>
      </c>
      <c r="E26" s="421">
        <v>40</v>
      </c>
      <c r="F26" s="427">
        <f t="shared" si="7"/>
        <v>100000</v>
      </c>
      <c r="G26" s="19">
        <v>16</v>
      </c>
      <c r="H26" s="29">
        <v>35000</v>
      </c>
      <c r="I26" s="476">
        <v>40</v>
      </c>
      <c r="J26" s="29">
        <f t="shared" si="8"/>
        <v>875</v>
      </c>
      <c r="K26" s="561">
        <f t="shared" si="0"/>
        <v>2.48</v>
      </c>
      <c r="L26" s="561">
        <f t="shared" si="1"/>
        <v>1.65</v>
      </c>
      <c r="M26" s="707">
        <f t="shared" si="2"/>
        <v>0.83000000000000007</v>
      </c>
      <c r="N26" s="464">
        <f>M26+T5_PLAN_vs_PRFM!R26</f>
        <v>394.415368</v>
      </c>
      <c r="O26" s="707">
        <f>L26+T5_PLAN_vs_PRFM!Q26</f>
        <v>262.386912</v>
      </c>
      <c r="P26" s="464">
        <f t="shared" si="3"/>
        <v>0.13675877520537716</v>
      </c>
      <c r="Q26" s="464">
        <f t="shared" si="4"/>
        <v>262.52367077520535</v>
      </c>
      <c r="R26" s="15">
        <v>234.35887939080575</v>
      </c>
      <c r="S26" s="464">
        <f t="shared" si="5"/>
        <v>0.21765496639283047</v>
      </c>
      <c r="T26" s="464">
        <f t="shared" si="6"/>
        <v>234.5765343571986</v>
      </c>
    </row>
    <row r="27" spans="1:20" ht="14.25">
      <c r="A27" s="699">
        <v>16</v>
      </c>
      <c r="B27" s="424" t="s">
        <v>904</v>
      </c>
      <c r="C27" s="19">
        <v>56</v>
      </c>
      <c r="D27" s="425">
        <v>14300</v>
      </c>
      <c r="E27" s="421">
        <v>40</v>
      </c>
      <c r="F27" s="427">
        <f t="shared" si="7"/>
        <v>572000</v>
      </c>
      <c r="G27" s="19">
        <v>56</v>
      </c>
      <c r="H27" s="29">
        <v>257400</v>
      </c>
      <c r="I27" s="476">
        <v>40</v>
      </c>
      <c r="J27" s="29">
        <f t="shared" si="8"/>
        <v>6435</v>
      </c>
      <c r="K27" s="561">
        <f t="shared" si="0"/>
        <v>14.185600000000001</v>
      </c>
      <c r="L27" s="561">
        <f t="shared" si="1"/>
        <v>9.4380000000000006</v>
      </c>
      <c r="M27" s="707">
        <f t="shared" si="2"/>
        <v>4.7476000000000003</v>
      </c>
      <c r="N27" s="464">
        <f>M27+T5_PLAN_vs_PRFM!R27</f>
        <v>399.15131839999998</v>
      </c>
      <c r="O27" s="707">
        <f>L27+T5_PLAN_vs_PRFM!Q27</f>
        <v>262.91674560000001</v>
      </c>
      <c r="P27" s="464">
        <f t="shared" si="3"/>
        <v>0.47865571321882006</v>
      </c>
      <c r="Q27" s="464">
        <f t="shared" si="4"/>
        <v>263.39540131321883</v>
      </c>
      <c r="R27" s="15">
        <v>97.372334404954131</v>
      </c>
      <c r="S27" s="464">
        <f t="shared" si="5"/>
        <v>0.76179238237490665</v>
      </c>
      <c r="T27" s="464">
        <f t="shared" si="6"/>
        <v>98.134126787329038</v>
      </c>
    </row>
    <row r="28" spans="1:20" ht="14.25">
      <c r="A28" s="699">
        <v>17</v>
      </c>
      <c r="B28" s="424" t="s">
        <v>905</v>
      </c>
      <c r="C28" s="19">
        <v>143</v>
      </c>
      <c r="D28" s="425">
        <v>33100</v>
      </c>
      <c r="E28" s="421">
        <v>40</v>
      </c>
      <c r="F28" s="427">
        <f t="shared" si="7"/>
        <v>1324000</v>
      </c>
      <c r="G28" s="19">
        <v>143</v>
      </c>
      <c r="H28" s="29">
        <v>556080</v>
      </c>
      <c r="I28" s="476">
        <v>40</v>
      </c>
      <c r="J28" s="29">
        <f t="shared" si="8"/>
        <v>13902</v>
      </c>
      <c r="K28" s="561">
        <f t="shared" si="0"/>
        <v>32.8352</v>
      </c>
      <c r="L28" s="561">
        <f t="shared" si="1"/>
        <v>21.846</v>
      </c>
      <c r="M28" s="707">
        <f t="shared" si="2"/>
        <v>10.9892</v>
      </c>
      <c r="N28" s="464">
        <f>M28+T5_PLAN_vs_PRFM!R28</f>
        <v>953.66664159999993</v>
      </c>
      <c r="O28" s="707">
        <f>L28+T5_PLAN_vs_PRFM!Q28</f>
        <v>628.40749440000002</v>
      </c>
      <c r="P28" s="464">
        <f t="shared" si="3"/>
        <v>1.2222815533980584</v>
      </c>
      <c r="Q28" s="464">
        <f t="shared" si="4"/>
        <v>629.62977595339805</v>
      </c>
      <c r="R28" s="15">
        <v>84.066798026637414</v>
      </c>
      <c r="S28" s="464">
        <f t="shared" si="5"/>
        <v>1.9452912621359224</v>
      </c>
      <c r="T28" s="464">
        <f t="shared" si="6"/>
        <v>86.012089288773339</v>
      </c>
    </row>
    <row r="29" spans="1:20" ht="14.25">
      <c r="A29" s="699">
        <v>18</v>
      </c>
      <c r="B29" s="424" t="s">
        <v>906</v>
      </c>
      <c r="C29" s="19">
        <v>334</v>
      </c>
      <c r="D29" s="425">
        <v>67700</v>
      </c>
      <c r="E29" s="421">
        <v>40</v>
      </c>
      <c r="F29" s="427">
        <f t="shared" si="7"/>
        <v>2708000</v>
      </c>
      <c r="G29" s="19">
        <v>334</v>
      </c>
      <c r="H29" s="29">
        <v>1110280</v>
      </c>
      <c r="I29" s="476">
        <v>40</v>
      </c>
      <c r="J29" s="29">
        <f t="shared" si="8"/>
        <v>27757</v>
      </c>
      <c r="K29" s="561">
        <f t="shared" si="0"/>
        <v>67.1584</v>
      </c>
      <c r="L29" s="561">
        <f t="shared" si="1"/>
        <v>44.682000000000002</v>
      </c>
      <c r="M29" s="707">
        <f t="shared" si="2"/>
        <v>22.476399999999998</v>
      </c>
      <c r="N29" s="464">
        <f>M29+T5_PLAN_vs_PRFM!R29</f>
        <v>444.59062400000005</v>
      </c>
      <c r="O29" s="707">
        <f>L29+T5_PLAN_vs_PRFM!Q29</f>
        <v>281.31921600000004</v>
      </c>
      <c r="P29" s="464">
        <f t="shared" si="3"/>
        <v>2.8548394324122484</v>
      </c>
      <c r="Q29" s="464">
        <f t="shared" si="4"/>
        <v>284.17405543241227</v>
      </c>
      <c r="R29" s="15">
        <v>77.640828753018553</v>
      </c>
      <c r="S29" s="464">
        <f t="shared" si="5"/>
        <v>4.5435474234503364</v>
      </c>
      <c r="T29" s="464">
        <f t="shared" si="6"/>
        <v>82.184376176468888</v>
      </c>
    </row>
    <row r="30" spans="1:20" s="707" customFormat="1" ht="14.25">
      <c r="A30" s="699">
        <v>19</v>
      </c>
      <c r="B30" s="424"/>
      <c r="C30" s="19"/>
      <c r="D30" s="425"/>
      <c r="E30" s="704"/>
      <c r="F30" s="427"/>
      <c r="G30" s="19"/>
      <c r="H30" s="29"/>
      <c r="I30" s="703"/>
      <c r="J30" s="29"/>
      <c r="K30" s="561">
        <f t="shared" si="0"/>
        <v>0</v>
      </c>
      <c r="L30" s="561">
        <f t="shared" si="1"/>
        <v>0</v>
      </c>
      <c r="M30" s="707">
        <f t="shared" si="2"/>
        <v>0</v>
      </c>
      <c r="N30" s="464">
        <f>M30+T5_PLAN_vs_PRFM!R30</f>
        <v>552.02230799999995</v>
      </c>
      <c r="O30" s="707">
        <f>L30+T5_PLAN_vs_PRFM!Q30</f>
        <v>368.01487200000003</v>
      </c>
      <c r="P30" s="464">
        <f t="shared" si="3"/>
        <v>0</v>
      </c>
      <c r="Q30" s="464">
        <f t="shared" si="4"/>
        <v>368.01487200000003</v>
      </c>
      <c r="R30" s="707">
        <v>205.47981747877745</v>
      </c>
      <c r="S30" s="464">
        <f t="shared" si="5"/>
        <v>0</v>
      </c>
      <c r="T30" s="464">
        <f t="shared" si="6"/>
        <v>205.47981747877745</v>
      </c>
    </row>
    <row r="31" spans="1:20" s="707" customFormat="1" ht="14.25">
      <c r="A31" s="699">
        <v>20</v>
      </c>
      <c r="B31" s="424"/>
      <c r="C31" s="19"/>
      <c r="D31" s="425"/>
      <c r="E31" s="704"/>
      <c r="F31" s="427"/>
      <c r="G31" s="19"/>
      <c r="H31" s="29"/>
      <c r="I31" s="703"/>
      <c r="J31" s="29"/>
      <c r="K31" s="561">
        <f t="shared" si="0"/>
        <v>0</v>
      </c>
      <c r="L31" s="561">
        <f t="shared" si="1"/>
        <v>0</v>
      </c>
      <c r="M31" s="707">
        <f t="shared" si="2"/>
        <v>0</v>
      </c>
      <c r="N31" s="464">
        <f>M31+T5_PLAN_vs_PRFM!R31</f>
        <v>460.06198559999996</v>
      </c>
      <c r="O31" s="707">
        <f>L31+T5_PLAN_vs_PRFM!Q31</f>
        <v>306.70799039999997</v>
      </c>
      <c r="P31" s="464">
        <f t="shared" si="3"/>
        <v>0</v>
      </c>
      <c r="Q31" s="464">
        <f t="shared" si="4"/>
        <v>306.70799039999997</v>
      </c>
      <c r="R31" s="707">
        <v>133.20656306019347</v>
      </c>
      <c r="S31" s="464">
        <f t="shared" si="5"/>
        <v>0</v>
      </c>
      <c r="T31" s="464">
        <f t="shared" si="6"/>
        <v>133.20656306019347</v>
      </c>
    </row>
    <row r="32" spans="1:20" ht="14.25">
      <c r="A32" s="699">
        <v>21</v>
      </c>
      <c r="B32" s="424" t="s">
        <v>909</v>
      </c>
      <c r="C32" s="19">
        <v>151</v>
      </c>
      <c r="D32" s="425">
        <v>13200</v>
      </c>
      <c r="E32" s="421">
        <v>40</v>
      </c>
      <c r="F32" s="427">
        <f t="shared" si="7"/>
        <v>528000</v>
      </c>
      <c r="G32" s="19">
        <v>151</v>
      </c>
      <c r="H32" s="29">
        <v>253440</v>
      </c>
      <c r="I32" s="476">
        <v>40</v>
      </c>
      <c r="J32" s="29">
        <f t="shared" si="8"/>
        <v>6336</v>
      </c>
      <c r="K32" s="561">
        <f t="shared" si="0"/>
        <v>13.0944</v>
      </c>
      <c r="L32" s="561">
        <f t="shared" si="1"/>
        <v>8.7119999999999997</v>
      </c>
      <c r="M32" s="707">
        <f t="shared" si="2"/>
        <v>4.3824000000000005</v>
      </c>
      <c r="N32" s="464">
        <f>M32+T5_PLAN_vs_PRFM!R32</f>
        <v>319.267968</v>
      </c>
      <c r="O32" s="707">
        <f>L32+T5_PLAN_vs_PRFM!Q32</f>
        <v>209.90611199999998</v>
      </c>
      <c r="P32" s="464">
        <f t="shared" si="3"/>
        <v>1.290660941000747</v>
      </c>
      <c r="Q32" s="464">
        <f t="shared" si="4"/>
        <v>211.19677294100072</v>
      </c>
      <c r="R32" s="15">
        <v>108.18308271233647</v>
      </c>
      <c r="S32" s="464">
        <f t="shared" si="5"/>
        <v>2.0541187453323375</v>
      </c>
      <c r="T32" s="464">
        <f t="shared" si="6"/>
        <v>110.2372014576688</v>
      </c>
    </row>
    <row r="33" spans="1:20" ht="14.25">
      <c r="A33" s="699">
        <v>22</v>
      </c>
      <c r="B33" s="424" t="s">
        <v>910</v>
      </c>
      <c r="C33" s="19">
        <v>188</v>
      </c>
      <c r="D33" s="425">
        <v>37600</v>
      </c>
      <c r="E33" s="421">
        <v>40</v>
      </c>
      <c r="F33" s="427">
        <f t="shared" si="7"/>
        <v>1504000</v>
      </c>
      <c r="G33" s="19">
        <v>188</v>
      </c>
      <c r="H33" s="29">
        <v>586560</v>
      </c>
      <c r="I33" s="476">
        <v>40</v>
      </c>
      <c r="J33" s="29">
        <f t="shared" si="8"/>
        <v>14664</v>
      </c>
      <c r="K33" s="561">
        <f t="shared" si="0"/>
        <v>37.299199999999999</v>
      </c>
      <c r="L33" s="561">
        <f t="shared" si="1"/>
        <v>24.815999999999999</v>
      </c>
      <c r="M33" s="707">
        <f t="shared" si="2"/>
        <v>12.4832</v>
      </c>
      <c r="N33" s="464">
        <f>M33+T5_PLAN_vs_PRFM!R33</f>
        <v>930.42646720000005</v>
      </c>
      <c r="O33" s="707">
        <f>L33+T5_PLAN_vs_PRFM!Q33</f>
        <v>611.91204479999999</v>
      </c>
      <c r="P33" s="464">
        <f t="shared" si="3"/>
        <v>1.6069156086631815</v>
      </c>
      <c r="Q33" s="464">
        <f t="shared" si="4"/>
        <v>613.51896040866313</v>
      </c>
      <c r="R33" s="15">
        <v>229.14250433339751</v>
      </c>
      <c r="S33" s="464">
        <f t="shared" si="5"/>
        <v>2.5574458551157582</v>
      </c>
      <c r="T33" s="464">
        <f t="shared" si="6"/>
        <v>231.69995018851327</v>
      </c>
    </row>
    <row r="34" spans="1:20" s="707" customFormat="1" ht="14.25">
      <c r="A34" s="699">
        <v>23</v>
      </c>
      <c r="B34" s="424"/>
      <c r="C34" s="19"/>
      <c r="D34" s="425"/>
      <c r="E34" s="704"/>
      <c r="F34" s="427"/>
      <c r="G34" s="19"/>
      <c r="H34" s="29"/>
      <c r="I34" s="703"/>
      <c r="J34" s="29"/>
      <c r="K34" s="561">
        <f t="shared" si="0"/>
        <v>0</v>
      </c>
      <c r="L34" s="561">
        <f t="shared" si="1"/>
        <v>0</v>
      </c>
      <c r="M34" s="707">
        <f t="shared" si="2"/>
        <v>0</v>
      </c>
      <c r="N34" s="464">
        <f>M34+T5_PLAN_vs_PRFM!R34</f>
        <v>335.17348559999999</v>
      </c>
      <c r="O34" s="707">
        <f>L34+T5_PLAN_vs_PRFM!Q34</f>
        <v>223.44899039999999</v>
      </c>
      <c r="P34" s="464">
        <f t="shared" si="3"/>
        <v>0</v>
      </c>
      <c r="Q34" s="464">
        <f t="shared" si="4"/>
        <v>223.44899039999999</v>
      </c>
      <c r="R34" s="707">
        <v>105.31029644883627</v>
      </c>
      <c r="S34" s="464">
        <f t="shared" si="5"/>
        <v>0</v>
      </c>
      <c r="T34" s="464">
        <f t="shared" si="6"/>
        <v>105.31029644883627</v>
      </c>
    </row>
    <row r="35" spans="1:20" s="707" customFormat="1" ht="14.25">
      <c r="A35" s="699">
        <v>24</v>
      </c>
      <c r="B35" s="424"/>
      <c r="C35" s="19"/>
      <c r="D35" s="425"/>
      <c r="E35" s="704"/>
      <c r="F35" s="427"/>
      <c r="G35" s="19"/>
      <c r="H35" s="29"/>
      <c r="I35" s="703"/>
      <c r="J35" s="29"/>
      <c r="K35" s="561">
        <f t="shared" si="0"/>
        <v>0</v>
      </c>
      <c r="L35" s="561">
        <f t="shared" si="1"/>
        <v>0</v>
      </c>
      <c r="M35" s="707">
        <f t="shared" si="2"/>
        <v>0</v>
      </c>
      <c r="N35" s="464">
        <f>M35+T5_PLAN_vs_PRFM!R35</f>
        <v>252.75010320000001</v>
      </c>
      <c r="O35" s="707">
        <f>L35+T5_PLAN_vs_PRFM!Q35</f>
        <v>168.50006879999998</v>
      </c>
      <c r="P35" s="464">
        <f t="shared" si="3"/>
        <v>0</v>
      </c>
      <c r="Q35" s="464">
        <f t="shared" si="4"/>
        <v>168.50006879999998</v>
      </c>
      <c r="R35" s="707">
        <v>93.365553563756492</v>
      </c>
      <c r="S35" s="464">
        <f t="shared" si="5"/>
        <v>0</v>
      </c>
      <c r="T35" s="464">
        <f t="shared" si="6"/>
        <v>93.365553563756492</v>
      </c>
    </row>
    <row r="36" spans="1:20" ht="14.25">
      <c r="A36" s="699">
        <v>25</v>
      </c>
      <c r="B36" s="424" t="s">
        <v>913</v>
      </c>
      <c r="C36" s="19">
        <v>48</v>
      </c>
      <c r="D36" s="425">
        <v>4600</v>
      </c>
      <c r="E36" s="421">
        <v>40</v>
      </c>
      <c r="F36" s="427">
        <f t="shared" si="7"/>
        <v>184000</v>
      </c>
      <c r="G36" s="19">
        <v>48</v>
      </c>
      <c r="H36" s="29">
        <v>64400</v>
      </c>
      <c r="I36" s="476">
        <v>40</v>
      </c>
      <c r="J36" s="29">
        <f t="shared" si="8"/>
        <v>1610</v>
      </c>
      <c r="K36" s="561">
        <f t="shared" si="0"/>
        <v>4.5632000000000001</v>
      </c>
      <c r="L36" s="561">
        <f t="shared" si="1"/>
        <v>3.036</v>
      </c>
      <c r="M36" s="707">
        <f t="shared" si="2"/>
        <v>1.5272000000000001</v>
      </c>
      <c r="N36" s="464">
        <f>M36+T5_PLAN_vs_PRFM!R36</f>
        <v>685.1447488</v>
      </c>
      <c r="O36" s="707">
        <f>L36+T5_PLAN_vs_PRFM!Q36</f>
        <v>455.73889919999999</v>
      </c>
      <c r="P36" s="464">
        <f t="shared" si="3"/>
        <v>0.41027632561613148</v>
      </c>
      <c r="Q36" s="464">
        <f t="shared" si="4"/>
        <v>456.1491755256161</v>
      </c>
      <c r="R36" s="15">
        <v>244.41363131305647</v>
      </c>
      <c r="S36" s="464">
        <f t="shared" si="5"/>
        <v>0.65296489917849143</v>
      </c>
      <c r="T36" s="464">
        <f t="shared" si="6"/>
        <v>245.06659621223497</v>
      </c>
    </row>
    <row r="37" spans="1:20" s="707" customFormat="1" ht="14.25">
      <c r="A37" s="699">
        <v>26</v>
      </c>
      <c r="B37" s="424"/>
      <c r="C37" s="19"/>
      <c r="D37" s="425"/>
      <c r="E37" s="704"/>
      <c r="F37" s="427"/>
      <c r="G37" s="19"/>
      <c r="H37" s="29"/>
      <c r="I37" s="703"/>
      <c r="J37" s="29"/>
      <c r="K37" s="561">
        <f t="shared" si="0"/>
        <v>0</v>
      </c>
      <c r="L37" s="561">
        <f t="shared" si="1"/>
        <v>0</v>
      </c>
      <c r="M37" s="707">
        <f t="shared" si="2"/>
        <v>0</v>
      </c>
      <c r="N37" s="464">
        <f>M37+T5_PLAN_vs_PRFM!R37</f>
        <v>503.67153599999995</v>
      </c>
      <c r="O37" s="707">
        <f>L37+T5_PLAN_vs_PRFM!Q37</f>
        <v>335.781024</v>
      </c>
      <c r="P37" s="464">
        <f t="shared" si="3"/>
        <v>0</v>
      </c>
      <c r="Q37" s="464">
        <f t="shared" si="4"/>
        <v>335.781024</v>
      </c>
      <c r="R37" s="707">
        <v>71.744056948991826</v>
      </c>
      <c r="S37" s="464">
        <f t="shared" si="5"/>
        <v>0</v>
      </c>
      <c r="T37" s="464">
        <f t="shared" si="6"/>
        <v>71.744056948991826</v>
      </c>
    </row>
    <row r="38" spans="1:20" s="707" customFormat="1" ht="14.25">
      <c r="A38" s="699">
        <v>27</v>
      </c>
      <c r="B38" s="424"/>
      <c r="C38" s="19"/>
      <c r="D38" s="425"/>
      <c r="E38" s="704"/>
      <c r="F38" s="427"/>
      <c r="G38" s="19"/>
      <c r="H38" s="29"/>
      <c r="I38" s="703"/>
      <c r="J38" s="29"/>
      <c r="K38" s="561">
        <f t="shared" si="0"/>
        <v>0</v>
      </c>
      <c r="L38" s="561">
        <f t="shared" si="1"/>
        <v>0</v>
      </c>
      <c r="M38" s="707">
        <f t="shared" si="2"/>
        <v>0</v>
      </c>
      <c r="N38" s="464">
        <f>M38+T5_PLAN_vs_PRFM!R38</f>
        <v>402.6586896</v>
      </c>
      <c r="O38" s="707">
        <f>L38+T5_PLAN_vs_PRFM!Q38</f>
        <v>268.43912640000002</v>
      </c>
      <c r="P38" s="464">
        <f t="shared" si="3"/>
        <v>0</v>
      </c>
      <c r="Q38" s="464">
        <f t="shared" si="4"/>
        <v>268.43912640000002</v>
      </c>
      <c r="R38" s="707">
        <v>112.87026030015258</v>
      </c>
      <c r="S38" s="464">
        <f t="shared" si="5"/>
        <v>0</v>
      </c>
      <c r="T38" s="464">
        <f t="shared" si="6"/>
        <v>112.87026030015258</v>
      </c>
    </row>
    <row r="39" spans="1:20" s="707" customFormat="1" ht="14.25">
      <c r="A39" s="699">
        <v>28</v>
      </c>
      <c r="B39" s="424"/>
      <c r="C39" s="19"/>
      <c r="D39" s="425"/>
      <c r="E39" s="704"/>
      <c r="F39" s="427"/>
      <c r="G39" s="19"/>
      <c r="H39" s="29"/>
      <c r="I39" s="703"/>
      <c r="J39" s="29"/>
      <c r="K39" s="561">
        <f t="shared" si="0"/>
        <v>0</v>
      </c>
      <c r="L39" s="561">
        <f t="shared" si="1"/>
        <v>0</v>
      </c>
      <c r="M39" s="707">
        <f t="shared" si="2"/>
        <v>0</v>
      </c>
      <c r="N39" s="464">
        <f>M39+T5_PLAN_vs_PRFM!R39</f>
        <v>386.34598080000001</v>
      </c>
      <c r="O39" s="707">
        <f>L39+T5_PLAN_vs_PRFM!Q39</f>
        <v>257.56398719999999</v>
      </c>
      <c r="P39" s="464">
        <f t="shared" si="3"/>
        <v>0</v>
      </c>
      <c r="Q39" s="464">
        <f t="shared" si="4"/>
        <v>257.56398719999999</v>
      </c>
      <c r="R39" s="707">
        <v>106.67108994207319</v>
      </c>
      <c r="S39" s="464">
        <f t="shared" si="5"/>
        <v>0</v>
      </c>
      <c r="T39" s="464">
        <f t="shared" si="6"/>
        <v>106.67108994207319</v>
      </c>
    </row>
    <row r="40" spans="1:20" ht="14.25">
      <c r="A40" s="699">
        <v>29</v>
      </c>
      <c r="B40" s="424" t="s">
        <v>917</v>
      </c>
      <c r="C40" s="19">
        <v>271</v>
      </c>
      <c r="D40" s="425">
        <v>54200</v>
      </c>
      <c r="E40" s="421">
        <v>40</v>
      </c>
      <c r="F40" s="427">
        <f t="shared" si="7"/>
        <v>2168000</v>
      </c>
      <c r="G40" s="19">
        <v>271</v>
      </c>
      <c r="H40" s="29">
        <v>997280</v>
      </c>
      <c r="I40" s="476">
        <v>40</v>
      </c>
      <c r="J40" s="29">
        <f t="shared" si="8"/>
        <v>24932</v>
      </c>
      <c r="K40" s="561">
        <f t="shared" si="0"/>
        <v>53.766399999999997</v>
      </c>
      <c r="L40" s="561">
        <f t="shared" si="1"/>
        <v>35.771999999999998</v>
      </c>
      <c r="M40" s="707">
        <f t="shared" si="2"/>
        <v>17.994399999999999</v>
      </c>
      <c r="N40" s="464">
        <f>M40+T5_PLAN_vs_PRFM!R40</f>
        <v>404.21550079999992</v>
      </c>
      <c r="O40" s="707">
        <f>L40+T5_PLAN_vs_PRFM!Q40</f>
        <v>257.40846720000002</v>
      </c>
      <c r="P40" s="464">
        <f t="shared" si="3"/>
        <v>2.3163517550410755</v>
      </c>
      <c r="Q40" s="464">
        <f t="shared" si="4"/>
        <v>259.72481895504109</v>
      </c>
      <c r="R40" s="15">
        <v>98.279530067112091</v>
      </c>
      <c r="S40" s="464">
        <f t="shared" si="5"/>
        <v>3.6865309932785659</v>
      </c>
      <c r="T40" s="464">
        <f t="shared" si="6"/>
        <v>101.96606106039066</v>
      </c>
    </row>
    <row r="41" spans="1:20" s="707" customFormat="1" ht="14.25">
      <c r="A41" s="699">
        <v>30</v>
      </c>
      <c r="B41" s="424"/>
      <c r="C41" s="19"/>
      <c r="D41" s="425"/>
      <c r="E41" s="704"/>
      <c r="F41" s="427"/>
      <c r="G41" s="19"/>
      <c r="H41" s="29"/>
      <c r="I41" s="703"/>
      <c r="J41" s="29"/>
      <c r="K41" s="561">
        <f t="shared" si="0"/>
        <v>0</v>
      </c>
      <c r="L41" s="561">
        <f t="shared" si="1"/>
        <v>0</v>
      </c>
      <c r="M41" s="707">
        <f t="shared" si="2"/>
        <v>0</v>
      </c>
      <c r="N41" s="464">
        <f>M41+T5_PLAN_vs_PRFM!R41</f>
        <v>463.42867680000001</v>
      </c>
      <c r="O41" s="707">
        <f>L41+T5_PLAN_vs_PRFM!Q41</f>
        <v>308.95245119999998</v>
      </c>
      <c r="P41" s="464">
        <f t="shared" si="3"/>
        <v>0</v>
      </c>
      <c r="Q41" s="464">
        <f t="shared" si="4"/>
        <v>308.95245119999998</v>
      </c>
      <c r="R41" s="707">
        <v>152.18207232699743</v>
      </c>
      <c r="S41" s="464">
        <f t="shared" si="5"/>
        <v>0</v>
      </c>
      <c r="T41" s="464">
        <f t="shared" si="6"/>
        <v>152.18207232699743</v>
      </c>
    </row>
    <row r="42" spans="1:20" s="707" customFormat="1" ht="14.25">
      <c r="A42" s="699">
        <v>31</v>
      </c>
      <c r="B42" s="424"/>
      <c r="C42" s="19"/>
      <c r="D42" s="425"/>
      <c r="E42" s="704"/>
      <c r="F42" s="427"/>
      <c r="G42" s="19"/>
      <c r="H42" s="29"/>
      <c r="I42" s="703"/>
      <c r="J42" s="29"/>
      <c r="K42" s="561">
        <f t="shared" si="0"/>
        <v>0</v>
      </c>
      <c r="L42" s="561">
        <f t="shared" si="1"/>
        <v>0</v>
      </c>
      <c r="M42" s="707">
        <f t="shared" si="2"/>
        <v>0</v>
      </c>
      <c r="N42" s="464">
        <f>M42+T5_PLAN_vs_PRFM!R42</f>
        <v>298.61824319999999</v>
      </c>
      <c r="O42" s="707">
        <f>L42+T5_PLAN_vs_PRFM!Q42</f>
        <v>199.0788288</v>
      </c>
      <c r="P42" s="464">
        <f t="shared" si="3"/>
        <v>0</v>
      </c>
      <c r="Q42" s="464">
        <f t="shared" si="4"/>
        <v>199.0788288</v>
      </c>
      <c r="R42" s="707">
        <v>70.005265263189074</v>
      </c>
      <c r="S42" s="464">
        <f t="shared" si="5"/>
        <v>0</v>
      </c>
      <c r="T42" s="464">
        <f t="shared" si="6"/>
        <v>70.005265263189074</v>
      </c>
    </row>
    <row r="43" spans="1:20" s="707" customFormat="1" ht="14.25">
      <c r="A43" s="699">
        <v>32</v>
      </c>
      <c r="B43" s="424"/>
      <c r="C43" s="19"/>
      <c r="D43" s="425"/>
      <c r="E43" s="704"/>
      <c r="F43" s="427"/>
      <c r="G43" s="19"/>
      <c r="H43" s="29"/>
      <c r="I43" s="703"/>
      <c r="J43" s="29"/>
      <c r="K43" s="561">
        <f t="shared" si="0"/>
        <v>0</v>
      </c>
      <c r="L43" s="561">
        <f t="shared" si="1"/>
        <v>0</v>
      </c>
      <c r="M43" s="707">
        <f t="shared" si="2"/>
        <v>0</v>
      </c>
      <c r="N43" s="464">
        <f>M43+T5_PLAN_vs_PRFM!R43</f>
        <v>375.01064639999998</v>
      </c>
      <c r="O43" s="707">
        <f>L43+T5_PLAN_vs_PRFM!Q43</f>
        <v>250.00709760000001</v>
      </c>
      <c r="P43" s="464">
        <f t="shared" si="3"/>
        <v>0</v>
      </c>
      <c r="Q43" s="464">
        <f t="shared" si="4"/>
        <v>250.00709760000001</v>
      </c>
      <c r="R43" s="707">
        <v>84.671595134742731</v>
      </c>
      <c r="S43" s="464">
        <f t="shared" si="5"/>
        <v>0</v>
      </c>
      <c r="T43" s="464">
        <f t="shared" si="6"/>
        <v>84.671595134742731</v>
      </c>
    </row>
    <row r="44" spans="1:20" s="707" customFormat="1" ht="14.25">
      <c r="A44" s="699">
        <v>33</v>
      </c>
      <c r="B44" s="424"/>
      <c r="C44" s="19"/>
      <c r="D44" s="425"/>
      <c r="E44" s="704"/>
      <c r="F44" s="427"/>
      <c r="G44" s="19"/>
      <c r="H44" s="29"/>
      <c r="I44" s="703"/>
      <c r="J44" s="29"/>
      <c r="K44" s="561">
        <f t="shared" si="0"/>
        <v>0</v>
      </c>
      <c r="L44" s="561">
        <f t="shared" si="1"/>
        <v>0</v>
      </c>
      <c r="M44" s="707">
        <f t="shared" si="2"/>
        <v>0</v>
      </c>
      <c r="N44" s="464">
        <f>M44+T5_PLAN_vs_PRFM!R44</f>
        <v>947.57824799999992</v>
      </c>
      <c r="O44" s="707">
        <f>L44+T5_PLAN_vs_PRFM!Q44</f>
        <v>631.71883200000002</v>
      </c>
      <c r="P44" s="464">
        <f t="shared" si="3"/>
        <v>0</v>
      </c>
      <c r="Q44" s="464">
        <f t="shared" si="4"/>
        <v>631.71883200000002</v>
      </c>
      <c r="R44" s="707">
        <v>304.89334212358699</v>
      </c>
      <c r="S44" s="464">
        <f t="shared" si="5"/>
        <v>0</v>
      </c>
      <c r="T44" s="464">
        <f t="shared" si="6"/>
        <v>304.89334212358699</v>
      </c>
    </row>
    <row r="45" spans="1:20">
      <c r="A45" s="3" t="s">
        <v>19</v>
      </c>
      <c r="B45" s="30"/>
      <c r="C45" s="30">
        <f>SUM(C16:C40)</f>
        <v>2678</v>
      </c>
      <c r="D45" s="426">
        <f>SUM(D16:D40)</f>
        <v>520800</v>
      </c>
      <c r="E45" s="19"/>
      <c r="F45" s="420">
        <f>SUM(F16:F40)</f>
        <v>20832000</v>
      </c>
      <c r="G45" s="19">
        <f>SUM(G16:G40)</f>
        <v>2678</v>
      </c>
      <c r="H45" s="19">
        <f t="shared" ref="H45" si="9">SUM(H16:H40)</f>
        <v>8458440</v>
      </c>
      <c r="I45" s="19">
        <v>40</v>
      </c>
      <c r="J45" s="29">
        <f t="shared" si="8"/>
        <v>211461</v>
      </c>
      <c r="K45" s="707">
        <f>E45*D45*0.0001</f>
        <v>0</v>
      </c>
      <c r="L45" s="707">
        <f t="shared" ref="L45" si="10">K45*70/100</f>
        <v>0</v>
      </c>
      <c r="M45" s="707">
        <f t="shared" si="2"/>
        <v>0</v>
      </c>
      <c r="N45" s="464">
        <f>M45+'T5A_PLAN_vs_PRFM '!P45</f>
        <v>0</v>
      </c>
    </row>
    <row r="46" spans="1:20">
      <c r="A46" s="11"/>
      <c r="B46" s="31"/>
      <c r="C46" s="31"/>
      <c r="D46" s="22"/>
      <c r="E46" s="22"/>
      <c r="F46" s="22"/>
      <c r="G46" s="22"/>
      <c r="H46" s="22"/>
      <c r="I46" s="22"/>
      <c r="J46" s="22"/>
      <c r="M46" s="707">
        <f>SUM(M12:M45)</f>
        <v>172.90559999999999</v>
      </c>
    </row>
    <row r="47" spans="1:20">
      <c r="A47" s="944" t="s">
        <v>874</v>
      </c>
      <c r="B47" s="944"/>
      <c r="C47" s="944"/>
      <c r="D47" s="944"/>
      <c r="E47" s="944"/>
      <c r="F47" s="944"/>
      <c r="G47" s="944"/>
      <c r="H47" s="944"/>
      <c r="I47" s="22"/>
      <c r="J47" s="22"/>
    </row>
    <row r="48" spans="1:20">
      <c r="A48" s="11"/>
      <c r="B48" s="31"/>
      <c r="C48" s="31"/>
      <c r="D48" s="22"/>
      <c r="E48" s="22"/>
      <c r="F48" s="22"/>
      <c r="G48" s="22"/>
      <c r="H48" s="22"/>
      <c r="I48" s="22"/>
      <c r="J48" s="22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866" t="s">
        <v>13</v>
      </c>
      <c r="J49" s="866"/>
    </row>
    <row r="50" spans="1:10" ht="12.75" customHeight="1">
      <c r="A50" s="871" t="s">
        <v>14</v>
      </c>
      <c r="B50" s="871"/>
      <c r="C50" s="871"/>
      <c r="D50" s="871"/>
      <c r="E50" s="871"/>
      <c r="F50" s="871"/>
      <c r="G50" s="871"/>
      <c r="H50" s="871"/>
      <c r="I50" s="871"/>
      <c r="J50" s="871"/>
    </row>
    <row r="51" spans="1:10" ht="12.75" customHeight="1">
      <c r="A51" s="871" t="s">
        <v>20</v>
      </c>
      <c r="B51" s="871"/>
      <c r="C51" s="871"/>
      <c r="D51" s="871"/>
      <c r="E51" s="871"/>
      <c r="F51" s="871"/>
      <c r="G51" s="871"/>
      <c r="H51" s="871"/>
      <c r="I51" s="871"/>
      <c r="J51" s="871"/>
    </row>
    <row r="52" spans="1:10">
      <c r="A52" s="14"/>
      <c r="B52" s="14"/>
      <c r="C52" s="14"/>
      <c r="E52" s="14"/>
      <c r="H52" s="850" t="s">
        <v>87</v>
      </c>
      <c r="I52" s="850"/>
      <c r="J52" s="850"/>
    </row>
    <row r="56" spans="1:10">
      <c r="A56" s="945"/>
      <c r="B56" s="945"/>
      <c r="C56" s="945"/>
      <c r="D56" s="945"/>
      <c r="E56" s="945"/>
      <c r="F56" s="945"/>
      <c r="G56" s="945"/>
      <c r="H56" s="945"/>
      <c r="I56" s="945"/>
      <c r="J56" s="945"/>
    </row>
    <row r="58" spans="1:10">
      <c r="A58" s="945"/>
      <c r="B58" s="945"/>
      <c r="C58" s="945"/>
      <c r="D58" s="945"/>
      <c r="E58" s="945"/>
      <c r="F58" s="945"/>
      <c r="G58" s="945"/>
      <c r="H58" s="945"/>
      <c r="I58" s="945"/>
      <c r="J58" s="945"/>
    </row>
  </sheetData>
  <mergeCells count="17">
    <mergeCell ref="A51:J51"/>
    <mergeCell ref="H52:J52"/>
    <mergeCell ref="A56:J56"/>
    <mergeCell ref="A58:J58"/>
    <mergeCell ref="A9:A10"/>
    <mergeCell ref="B9:B10"/>
    <mergeCell ref="C9:F9"/>
    <mergeCell ref="G9:J9"/>
    <mergeCell ref="I49:J49"/>
    <mergeCell ref="A50:J50"/>
    <mergeCell ref="A47:H47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8"/>
  <sheetViews>
    <sheetView view="pageBreakPreview" zoomScale="90" zoomScaleSheetLayoutView="90" workbookViewId="0">
      <selection activeCell="H13" sqref="H13"/>
    </sheetView>
  </sheetViews>
  <sheetFormatPr defaultRowHeight="12.75"/>
  <cols>
    <col min="1" max="1" width="7.42578125" style="707" customWidth="1"/>
    <col min="2" max="2" width="17.140625" style="707" customWidth="1"/>
    <col min="3" max="3" width="11" style="707" customWidth="1"/>
    <col min="4" max="4" width="10" style="707" customWidth="1"/>
    <col min="5" max="5" width="13.140625" style="707" customWidth="1"/>
    <col min="6" max="6" width="14.28515625" style="707" customWidth="1"/>
    <col min="7" max="7" width="13.28515625" style="707" customWidth="1"/>
    <col min="8" max="8" width="14.7109375" style="707" customWidth="1"/>
    <col min="9" max="9" width="16.7109375" style="707" customWidth="1"/>
    <col min="10" max="10" width="19.28515625" style="707" customWidth="1"/>
    <col min="11" max="16384" width="9.140625" style="707"/>
  </cols>
  <sheetData>
    <row r="1" spans="1:19" customFormat="1">
      <c r="E1" s="851"/>
      <c r="F1" s="851"/>
      <c r="G1" s="851"/>
      <c r="H1" s="851"/>
      <c r="I1" s="851"/>
      <c r="J1" s="708" t="s">
        <v>366</v>
      </c>
    </row>
    <row r="2" spans="1:19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9" customFormat="1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</row>
    <row r="4" spans="1:19" customFormat="1" ht="14.25" customHeight="1"/>
    <row r="5" spans="1:19" ht="31.5" customHeight="1">
      <c r="A5" s="933" t="s">
        <v>757</v>
      </c>
      <c r="B5" s="933"/>
      <c r="C5" s="933"/>
      <c r="D5" s="933"/>
      <c r="E5" s="933"/>
      <c r="F5" s="933"/>
      <c r="G5" s="933"/>
      <c r="H5" s="933"/>
      <c r="I5" s="933"/>
      <c r="J5" s="933"/>
    </row>
    <row r="6" spans="1:19" ht="13.5" customHeight="1">
      <c r="A6" s="701"/>
      <c r="B6" s="701"/>
      <c r="C6" s="701"/>
      <c r="D6" s="701"/>
      <c r="E6" s="701"/>
      <c r="F6" s="701"/>
      <c r="G6" s="701"/>
      <c r="H6" s="701"/>
      <c r="I6" s="701"/>
      <c r="J6" s="701"/>
    </row>
    <row r="7" spans="1:19" ht="0.75" customHeight="1"/>
    <row r="8" spans="1:19">
      <c r="A8" s="850" t="s">
        <v>922</v>
      </c>
      <c r="B8" s="850"/>
      <c r="C8" s="700"/>
      <c r="H8" s="922" t="s">
        <v>782</v>
      </c>
      <c r="I8" s="922"/>
      <c r="J8" s="922"/>
    </row>
    <row r="9" spans="1:19">
      <c r="A9" s="844" t="s">
        <v>2</v>
      </c>
      <c r="B9" s="844" t="s">
        <v>3</v>
      </c>
      <c r="C9" s="825" t="s">
        <v>752</v>
      </c>
      <c r="D9" s="856"/>
      <c r="E9" s="856"/>
      <c r="F9" s="826"/>
      <c r="G9" s="825" t="s">
        <v>108</v>
      </c>
      <c r="H9" s="856"/>
      <c r="I9" s="856"/>
      <c r="J9" s="826"/>
      <c r="O9" s="19"/>
      <c r="P9" s="22"/>
    </row>
    <row r="10" spans="1:19" ht="53.25" customHeight="1">
      <c r="A10" s="844"/>
      <c r="B10" s="844"/>
      <c r="C10" s="699" t="s">
        <v>187</v>
      </c>
      <c r="D10" s="699" t="s">
        <v>17</v>
      </c>
      <c r="E10" s="279" t="s">
        <v>368</v>
      </c>
      <c r="F10" s="697" t="s">
        <v>204</v>
      </c>
      <c r="G10" s="699" t="s">
        <v>187</v>
      </c>
      <c r="H10" s="710" t="s">
        <v>18</v>
      </c>
      <c r="I10" s="709" t="s">
        <v>872</v>
      </c>
      <c r="J10" s="699" t="s">
        <v>873</v>
      </c>
    </row>
    <row r="11" spans="1:19">
      <c r="A11" s="699">
        <v>1</v>
      </c>
      <c r="B11" s="699">
        <v>2</v>
      </c>
      <c r="C11" s="699">
        <v>3</v>
      </c>
      <c r="D11" s="699">
        <v>4</v>
      </c>
      <c r="E11" s="699">
        <v>5</v>
      </c>
      <c r="F11" s="697">
        <v>6</v>
      </c>
      <c r="G11" s="699">
        <v>7</v>
      </c>
      <c r="H11" s="698">
        <v>8</v>
      </c>
      <c r="I11" s="699">
        <v>9</v>
      </c>
      <c r="J11" s="699">
        <v>10</v>
      </c>
    </row>
    <row r="12" spans="1:19" ht="16.5" customHeight="1">
      <c r="A12" s="699">
        <v>1</v>
      </c>
      <c r="B12" s="699"/>
      <c r="C12" s="699"/>
      <c r="D12" s="699"/>
      <c r="E12" s="699"/>
      <c r="F12" s="706"/>
      <c r="G12" s="699"/>
      <c r="H12" s="698"/>
      <c r="I12" s="698"/>
      <c r="J12" s="698"/>
      <c r="K12" s="561">
        <f>D12*E12*3.71/100000</f>
        <v>0</v>
      </c>
      <c r="L12" s="561">
        <f>E12*D12*2.47/100000</f>
        <v>0</v>
      </c>
      <c r="M12" s="707">
        <f>K12-L12</f>
        <v>0</v>
      </c>
      <c r="O12" s="464">
        <f>M12+'T5A_PLAN_vs_PRFM '!P12</f>
        <v>0</v>
      </c>
      <c r="P12" s="707">
        <f>L12+'T5A_PLAN_vs_PRFM '!O12</f>
        <v>336.98371200000003</v>
      </c>
      <c r="Q12" s="707">
        <v>206.37778092072696</v>
      </c>
      <c r="R12" s="464">
        <f>22.89/2120*C12</f>
        <v>0</v>
      </c>
      <c r="S12" s="464">
        <f>Q12+R12</f>
        <v>206.37778092072696</v>
      </c>
    </row>
    <row r="13" spans="1:19">
      <c r="A13" s="699">
        <v>2</v>
      </c>
      <c r="B13" s="699"/>
      <c r="C13" s="699"/>
      <c r="D13" s="699"/>
      <c r="E13" s="699"/>
      <c r="F13" s="706"/>
      <c r="G13" s="699"/>
      <c r="H13" s="698"/>
      <c r="I13" s="698"/>
      <c r="J13" s="698"/>
      <c r="K13" s="561">
        <f t="shared" ref="K13:K44" si="0">D13*E13*3.71/100000</f>
        <v>0</v>
      </c>
      <c r="L13" s="561">
        <f t="shared" ref="L13:L44" si="1">E13*D13*2.47/100000</f>
        <v>0</v>
      </c>
      <c r="M13" s="707">
        <f t="shared" ref="M13:M45" si="2">K13-L13</f>
        <v>0</v>
      </c>
      <c r="O13" s="464">
        <f>M13+'T5A_PLAN_vs_PRFM '!P13</f>
        <v>0</v>
      </c>
      <c r="P13" s="707">
        <f>L13+'T5A_PLAN_vs_PRFM '!O13</f>
        <v>483.89307200000002</v>
      </c>
      <c r="Q13" s="707">
        <v>8.164395728732055</v>
      </c>
      <c r="R13" s="464">
        <f t="shared" ref="R13:R45" si="3">22.89/2120*C13</f>
        <v>0</v>
      </c>
      <c r="S13" s="464">
        <f t="shared" ref="S13:S45" si="4">Q13+R13</f>
        <v>8.164395728732055</v>
      </c>
    </row>
    <row r="14" spans="1:19">
      <c r="A14" s="699">
        <v>3</v>
      </c>
      <c r="B14" s="699"/>
      <c r="C14" s="699"/>
      <c r="D14" s="699"/>
      <c r="E14" s="699"/>
      <c r="F14" s="706"/>
      <c r="G14" s="699"/>
      <c r="H14" s="698"/>
      <c r="I14" s="698"/>
      <c r="J14" s="698"/>
      <c r="K14" s="561">
        <f t="shared" si="0"/>
        <v>0</v>
      </c>
      <c r="L14" s="561">
        <f t="shared" si="1"/>
        <v>0</v>
      </c>
      <c r="M14" s="707">
        <f t="shared" si="2"/>
        <v>0</v>
      </c>
      <c r="O14" s="464">
        <f>M14+'T5A_PLAN_vs_PRFM '!P14</f>
        <v>0</v>
      </c>
      <c r="P14" s="707">
        <f>L14+'T5A_PLAN_vs_PRFM '!O14</f>
        <v>522.88995199999999</v>
      </c>
      <c r="Q14" s="707">
        <v>111.20209367560049</v>
      </c>
      <c r="R14" s="464">
        <f t="shared" si="3"/>
        <v>0</v>
      </c>
      <c r="S14" s="464">
        <f t="shared" si="4"/>
        <v>111.20209367560049</v>
      </c>
    </row>
    <row r="15" spans="1:19">
      <c r="A15" s="699">
        <v>4</v>
      </c>
      <c r="B15" s="699"/>
      <c r="C15" s="699"/>
      <c r="D15" s="699"/>
      <c r="E15" s="699"/>
      <c r="F15" s="706"/>
      <c r="G15" s="699"/>
      <c r="H15" s="698"/>
      <c r="I15" s="698"/>
      <c r="J15" s="698"/>
      <c r="K15" s="561">
        <f t="shared" si="0"/>
        <v>0</v>
      </c>
      <c r="L15" s="561">
        <f t="shared" si="1"/>
        <v>0</v>
      </c>
      <c r="M15" s="707">
        <f t="shared" si="2"/>
        <v>0</v>
      </c>
      <c r="O15" s="464">
        <f>M15+'T5A_PLAN_vs_PRFM '!P15</f>
        <v>0</v>
      </c>
      <c r="P15" s="707">
        <f>L15+'T5A_PLAN_vs_PRFM '!O15</f>
        <v>195.52124800000001</v>
      </c>
      <c r="Q15" s="707">
        <v>67.129475991796895</v>
      </c>
      <c r="R15" s="464">
        <f t="shared" si="3"/>
        <v>0</v>
      </c>
      <c r="S15" s="464">
        <f t="shared" si="4"/>
        <v>67.129475991796895</v>
      </c>
    </row>
    <row r="16" spans="1:19" ht="14.25">
      <c r="A16" s="699">
        <v>5</v>
      </c>
      <c r="B16" s="424" t="s">
        <v>893</v>
      </c>
      <c r="C16" s="19">
        <v>631</v>
      </c>
      <c r="D16" s="425">
        <v>94600</v>
      </c>
      <c r="E16" s="704">
        <v>40</v>
      </c>
      <c r="F16" s="427">
        <v>3784000</v>
      </c>
      <c r="G16" s="19">
        <v>631</v>
      </c>
      <c r="H16" s="29">
        <v>1475760</v>
      </c>
      <c r="I16" s="703">
        <v>40</v>
      </c>
      <c r="J16" s="29">
        <v>36894</v>
      </c>
      <c r="K16" s="561">
        <f t="shared" si="0"/>
        <v>140.38640000000001</v>
      </c>
      <c r="L16" s="561">
        <f t="shared" si="1"/>
        <v>93.464799999999997</v>
      </c>
      <c r="M16" s="707">
        <f t="shared" si="2"/>
        <v>46.921600000000012</v>
      </c>
      <c r="O16" s="464">
        <f>M16+'T5A_PLAN_vs_PRFM '!P16</f>
        <v>46.921600000000012</v>
      </c>
      <c r="P16" s="707">
        <f>L16+'T5A_PLAN_vs_PRFM '!O16</f>
        <v>723.12718399999994</v>
      </c>
      <c r="Q16" s="707">
        <v>247.12416330763972</v>
      </c>
      <c r="R16" s="464">
        <f t="shared" si="3"/>
        <v>6.8130141509433955</v>
      </c>
      <c r="S16" s="464">
        <f t="shared" si="4"/>
        <v>253.93717745858311</v>
      </c>
    </row>
    <row r="17" spans="1:19" ht="14.25">
      <c r="A17" s="699">
        <v>6</v>
      </c>
      <c r="B17" s="424"/>
      <c r="C17" s="19"/>
      <c r="D17" s="425"/>
      <c r="E17" s="704"/>
      <c r="F17" s="427"/>
      <c r="G17" s="19"/>
      <c r="H17" s="29"/>
      <c r="I17" s="703"/>
      <c r="J17" s="29"/>
      <c r="K17" s="561">
        <f t="shared" si="0"/>
        <v>0</v>
      </c>
      <c r="L17" s="561">
        <f t="shared" si="1"/>
        <v>0</v>
      </c>
      <c r="M17" s="707">
        <f t="shared" si="2"/>
        <v>0</v>
      </c>
      <c r="O17" s="464">
        <f>M17+'T5A_PLAN_vs_PRFM '!P17</f>
        <v>0</v>
      </c>
      <c r="P17" s="707">
        <f>L17+'T5A_PLAN_vs_PRFM '!O17</f>
        <v>311.80011200000001</v>
      </c>
      <c r="Q17" s="707">
        <v>0.60477005398015227</v>
      </c>
      <c r="R17" s="464">
        <f t="shared" si="3"/>
        <v>0</v>
      </c>
      <c r="S17" s="464">
        <f t="shared" si="4"/>
        <v>0.60477005398015227</v>
      </c>
    </row>
    <row r="18" spans="1:19" ht="14.25">
      <c r="A18" s="699">
        <v>7</v>
      </c>
      <c r="B18" s="424" t="s">
        <v>895</v>
      </c>
      <c r="C18" s="19">
        <v>213</v>
      </c>
      <c r="D18" s="425">
        <v>31950</v>
      </c>
      <c r="E18" s="704">
        <v>40</v>
      </c>
      <c r="F18" s="427">
        <v>1278000</v>
      </c>
      <c r="G18" s="19">
        <v>213</v>
      </c>
      <c r="H18" s="29">
        <v>587880</v>
      </c>
      <c r="I18" s="703">
        <v>40</v>
      </c>
      <c r="J18" s="29">
        <v>14697</v>
      </c>
      <c r="K18" s="561">
        <f t="shared" si="0"/>
        <v>47.413800000000002</v>
      </c>
      <c r="L18" s="561">
        <f t="shared" si="1"/>
        <v>31.566600000000005</v>
      </c>
      <c r="M18" s="707">
        <f t="shared" si="2"/>
        <v>15.847199999999997</v>
      </c>
      <c r="O18" s="464">
        <f>M18+'T5A_PLAN_vs_PRFM '!P18</f>
        <v>15.847199999999997</v>
      </c>
      <c r="P18" s="707">
        <f>L18+'T5A_PLAN_vs_PRFM '!O18</f>
        <v>499.93933600000003</v>
      </c>
      <c r="Q18" s="707">
        <v>152.0996685760083</v>
      </c>
      <c r="R18" s="464">
        <f t="shared" si="3"/>
        <v>2.2997971698113204</v>
      </c>
      <c r="S18" s="464">
        <f t="shared" si="4"/>
        <v>154.39946574581961</v>
      </c>
    </row>
    <row r="19" spans="1:19" ht="14.25">
      <c r="A19" s="699">
        <v>8</v>
      </c>
      <c r="B19" s="424" t="s">
        <v>896</v>
      </c>
      <c r="C19" s="19">
        <v>45</v>
      </c>
      <c r="D19" s="425">
        <v>4700</v>
      </c>
      <c r="E19" s="704">
        <v>40</v>
      </c>
      <c r="F19" s="427">
        <v>188000</v>
      </c>
      <c r="G19" s="19">
        <v>45</v>
      </c>
      <c r="H19" s="29">
        <v>105280.00000000001</v>
      </c>
      <c r="I19" s="703">
        <v>40</v>
      </c>
      <c r="J19" s="29">
        <v>2632.0000000000005</v>
      </c>
      <c r="K19" s="561">
        <f t="shared" si="0"/>
        <v>6.9748000000000001</v>
      </c>
      <c r="L19" s="561">
        <f t="shared" si="1"/>
        <v>4.6436000000000002</v>
      </c>
      <c r="M19" s="707">
        <f t="shared" si="2"/>
        <v>2.3311999999999999</v>
      </c>
      <c r="O19" s="464">
        <f>M19+'T5A_PLAN_vs_PRFM '!P19</f>
        <v>2.3311999999999999</v>
      </c>
      <c r="P19" s="707">
        <f>L19+'T5A_PLAN_vs_PRFM '!O19</f>
        <v>282.13972799999999</v>
      </c>
      <c r="Q19" s="707">
        <v>8.3155882422270935</v>
      </c>
      <c r="R19" s="464">
        <f t="shared" si="3"/>
        <v>0.48587264150943393</v>
      </c>
      <c r="S19" s="464">
        <f t="shared" si="4"/>
        <v>8.801460883736528</v>
      </c>
    </row>
    <row r="20" spans="1:19" ht="14.25">
      <c r="A20" s="699">
        <v>9</v>
      </c>
      <c r="B20" s="424"/>
      <c r="C20" s="19"/>
      <c r="D20" s="425"/>
      <c r="E20" s="704"/>
      <c r="F20" s="427"/>
      <c r="G20" s="19"/>
      <c r="H20" s="29"/>
      <c r="I20" s="703"/>
      <c r="J20" s="29"/>
      <c r="K20" s="561">
        <f t="shared" si="0"/>
        <v>0</v>
      </c>
      <c r="L20" s="561">
        <f t="shared" si="1"/>
        <v>0</v>
      </c>
      <c r="M20" s="707">
        <f t="shared" si="2"/>
        <v>0</v>
      </c>
      <c r="O20" s="464">
        <f>M20+'T5A_PLAN_vs_PRFM '!P20</f>
        <v>0</v>
      </c>
      <c r="P20" s="707">
        <f>L20+'T5A_PLAN_vs_PRFM '!O20</f>
        <v>197.73499200000001</v>
      </c>
      <c r="Q20" s="707">
        <v>65.61755085684652</v>
      </c>
      <c r="R20" s="464">
        <f t="shared" si="3"/>
        <v>0</v>
      </c>
      <c r="S20" s="464">
        <f t="shared" si="4"/>
        <v>65.61755085684652</v>
      </c>
    </row>
    <row r="21" spans="1:19" ht="14.25">
      <c r="A21" s="699">
        <v>10</v>
      </c>
      <c r="B21" s="424"/>
      <c r="C21" s="19"/>
      <c r="D21" s="425"/>
      <c r="E21" s="704"/>
      <c r="F21" s="427"/>
      <c r="G21" s="19"/>
      <c r="H21" s="29"/>
      <c r="I21" s="703"/>
      <c r="J21" s="29"/>
      <c r="K21" s="561">
        <f t="shared" si="0"/>
        <v>0</v>
      </c>
      <c r="L21" s="561">
        <f t="shared" si="1"/>
        <v>0</v>
      </c>
      <c r="M21" s="707">
        <f t="shared" si="2"/>
        <v>0</v>
      </c>
      <c r="O21" s="464">
        <f>M21+'T5A_PLAN_vs_PRFM '!P21</f>
        <v>0</v>
      </c>
      <c r="P21" s="707">
        <f>L21+'T5A_PLAN_vs_PRFM '!O21</f>
        <v>275.674464</v>
      </c>
      <c r="Q21" s="707">
        <v>139.17270867218255</v>
      </c>
      <c r="R21" s="464">
        <f t="shared" si="3"/>
        <v>0</v>
      </c>
      <c r="S21" s="464">
        <f t="shared" si="4"/>
        <v>139.17270867218255</v>
      </c>
    </row>
    <row r="22" spans="1:19" ht="14.25">
      <c r="A22" s="699">
        <v>11</v>
      </c>
      <c r="B22" s="424" t="s">
        <v>899</v>
      </c>
      <c r="C22" s="19">
        <v>79</v>
      </c>
      <c r="D22" s="425">
        <v>10250</v>
      </c>
      <c r="E22" s="704">
        <v>40</v>
      </c>
      <c r="F22" s="427">
        <v>410000</v>
      </c>
      <c r="G22" s="19">
        <v>79</v>
      </c>
      <c r="H22" s="29">
        <v>176280</v>
      </c>
      <c r="I22" s="703">
        <v>40</v>
      </c>
      <c r="J22" s="29">
        <v>4407</v>
      </c>
      <c r="K22" s="561">
        <f t="shared" si="0"/>
        <v>15.211</v>
      </c>
      <c r="L22" s="561">
        <f t="shared" si="1"/>
        <v>10.127000000000001</v>
      </c>
      <c r="M22" s="707">
        <f t="shared" si="2"/>
        <v>5.0839999999999996</v>
      </c>
      <c r="O22" s="464">
        <f>M22+'T5A_PLAN_vs_PRFM '!P22</f>
        <v>5.0839999999999996</v>
      </c>
      <c r="P22" s="707">
        <f>L22+'T5A_PLAN_vs_PRFM '!O22</f>
        <v>306.52741600000002</v>
      </c>
      <c r="Q22" s="707">
        <v>84.516615043726276</v>
      </c>
      <c r="R22" s="464">
        <f t="shared" si="3"/>
        <v>0.85297641509433964</v>
      </c>
      <c r="S22" s="464">
        <f t="shared" si="4"/>
        <v>85.369591458820622</v>
      </c>
    </row>
    <row r="23" spans="1:19" ht="14.25">
      <c r="A23" s="699">
        <v>12</v>
      </c>
      <c r="B23" s="424"/>
      <c r="C23" s="19"/>
      <c r="D23" s="425"/>
      <c r="E23" s="704"/>
      <c r="F23" s="427"/>
      <c r="G23" s="19"/>
      <c r="H23" s="29"/>
      <c r="I23" s="703"/>
      <c r="J23" s="29"/>
      <c r="K23" s="561">
        <f t="shared" si="0"/>
        <v>0</v>
      </c>
      <c r="L23" s="561">
        <f t="shared" si="1"/>
        <v>0</v>
      </c>
      <c r="M23" s="707">
        <f t="shared" si="2"/>
        <v>0</v>
      </c>
      <c r="O23" s="464">
        <f>M23+'T5A_PLAN_vs_PRFM '!P23</f>
        <v>0</v>
      </c>
      <c r="P23" s="707">
        <f>L23+'T5A_PLAN_vs_PRFM '!O23</f>
        <v>268.79195199999998</v>
      </c>
      <c r="Q23" s="707">
        <v>83.080286165523418</v>
      </c>
      <c r="R23" s="464">
        <f t="shared" si="3"/>
        <v>0</v>
      </c>
      <c r="S23" s="464">
        <f t="shared" si="4"/>
        <v>83.080286165523418</v>
      </c>
    </row>
    <row r="24" spans="1:19" ht="14.25">
      <c r="A24" s="699">
        <v>13</v>
      </c>
      <c r="B24" s="424"/>
      <c r="C24" s="19"/>
      <c r="D24" s="425"/>
      <c r="E24" s="704"/>
      <c r="F24" s="427"/>
      <c r="G24" s="19"/>
      <c r="H24" s="29"/>
      <c r="I24" s="703"/>
      <c r="J24" s="29"/>
      <c r="K24" s="561">
        <f t="shared" si="0"/>
        <v>0</v>
      </c>
      <c r="L24" s="561">
        <f t="shared" si="1"/>
        <v>0</v>
      </c>
      <c r="M24" s="707">
        <f t="shared" si="2"/>
        <v>0</v>
      </c>
      <c r="O24" s="464">
        <f>M24+'T5A_PLAN_vs_PRFM '!P24</f>
        <v>0</v>
      </c>
      <c r="P24" s="707">
        <f>L24+'T5A_PLAN_vs_PRFM '!O24</f>
        <v>150.00980800000002</v>
      </c>
      <c r="Q24" s="707">
        <v>114.90631025622893</v>
      </c>
      <c r="R24" s="464">
        <f t="shared" si="3"/>
        <v>0</v>
      </c>
      <c r="S24" s="464">
        <f t="shared" si="4"/>
        <v>114.90631025622893</v>
      </c>
    </row>
    <row r="25" spans="1:19" ht="14.25">
      <c r="A25" s="699">
        <v>14</v>
      </c>
      <c r="B25" s="424" t="s">
        <v>902</v>
      </c>
      <c r="C25" s="19">
        <v>56</v>
      </c>
      <c r="D25" s="425">
        <v>5300</v>
      </c>
      <c r="E25" s="704">
        <v>40</v>
      </c>
      <c r="F25" s="427">
        <v>212000</v>
      </c>
      <c r="G25" s="19">
        <v>56</v>
      </c>
      <c r="H25" s="29">
        <v>80560</v>
      </c>
      <c r="I25" s="703">
        <v>40</v>
      </c>
      <c r="J25" s="29">
        <v>2014</v>
      </c>
      <c r="K25" s="561">
        <f t="shared" si="0"/>
        <v>7.8651999999999997</v>
      </c>
      <c r="L25" s="561">
        <f t="shared" si="1"/>
        <v>5.2364000000000006</v>
      </c>
      <c r="M25" s="707">
        <f t="shared" si="2"/>
        <v>2.6287999999999991</v>
      </c>
      <c r="O25" s="464">
        <f>M25+'T5A_PLAN_vs_PRFM '!P25</f>
        <v>2.6287999999999991</v>
      </c>
      <c r="P25" s="707">
        <f>L25+'T5A_PLAN_vs_PRFM '!O25</f>
        <v>379.17817600000001</v>
      </c>
      <c r="Q25" s="707">
        <v>134.78812578082645</v>
      </c>
      <c r="R25" s="464">
        <f t="shared" si="3"/>
        <v>0.60464150943396222</v>
      </c>
      <c r="S25" s="464">
        <f t="shared" si="4"/>
        <v>135.39276729026042</v>
      </c>
    </row>
    <row r="26" spans="1:19" ht="14.25">
      <c r="A26" s="699">
        <v>15</v>
      </c>
      <c r="B26" s="424" t="s">
        <v>903</v>
      </c>
      <c r="C26" s="19">
        <v>18</v>
      </c>
      <c r="D26" s="425">
        <v>1250</v>
      </c>
      <c r="E26" s="704">
        <v>40</v>
      </c>
      <c r="F26" s="427">
        <v>50000</v>
      </c>
      <c r="G26" s="19">
        <v>18</v>
      </c>
      <c r="H26" s="29">
        <v>28480</v>
      </c>
      <c r="I26" s="703">
        <v>40</v>
      </c>
      <c r="J26" s="29">
        <v>712</v>
      </c>
      <c r="K26" s="561">
        <f t="shared" si="0"/>
        <v>1.855</v>
      </c>
      <c r="L26" s="561">
        <f t="shared" si="1"/>
        <v>1.2350000000000001</v>
      </c>
      <c r="M26" s="707">
        <f t="shared" si="2"/>
        <v>0.61999999999999988</v>
      </c>
      <c r="O26" s="464">
        <f>M26+'T5A_PLAN_vs_PRFM '!P26</f>
        <v>0.61999999999999988</v>
      </c>
      <c r="P26" s="707">
        <f>L26+'T5A_PLAN_vs_PRFM '!O26</f>
        <v>197.492152</v>
      </c>
      <c r="Q26" s="707">
        <v>1.1339438512127855</v>
      </c>
      <c r="R26" s="464">
        <f t="shared" si="3"/>
        <v>0.19434905660377358</v>
      </c>
      <c r="S26" s="464">
        <f t="shared" si="4"/>
        <v>1.3282929078165591</v>
      </c>
    </row>
    <row r="27" spans="1:19" ht="14.25">
      <c r="A27" s="699">
        <v>16</v>
      </c>
      <c r="B27" s="424" t="s">
        <v>904</v>
      </c>
      <c r="C27" s="19">
        <v>56</v>
      </c>
      <c r="D27" s="425">
        <v>7150</v>
      </c>
      <c r="E27" s="704">
        <v>40</v>
      </c>
      <c r="F27" s="427">
        <v>286000</v>
      </c>
      <c r="G27" s="19">
        <v>56</v>
      </c>
      <c r="H27" s="29">
        <v>140120</v>
      </c>
      <c r="I27" s="703">
        <v>40</v>
      </c>
      <c r="J27" s="29">
        <v>3503</v>
      </c>
      <c r="K27" s="561">
        <f t="shared" si="0"/>
        <v>10.6106</v>
      </c>
      <c r="L27" s="561">
        <f t="shared" si="1"/>
        <v>7.0641999999999996</v>
      </c>
      <c r="M27" s="707">
        <f t="shared" si="2"/>
        <v>3.5464000000000002</v>
      </c>
      <c r="O27" s="464">
        <f>M27+'T5A_PLAN_vs_PRFM '!P27</f>
        <v>3.5464000000000002</v>
      </c>
      <c r="P27" s="707">
        <f>L27+'T5A_PLAN_vs_PRFM '!O27</f>
        <v>293.07751199999996</v>
      </c>
      <c r="Q27" s="707">
        <v>64.937184546118843</v>
      </c>
      <c r="R27" s="464">
        <f t="shared" si="3"/>
        <v>0.60464150943396222</v>
      </c>
      <c r="S27" s="464">
        <f t="shared" si="4"/>
        <v>65.541826055552804</v>
      </c>
    </row>
    <row r="28" spans="1:19" ht="14.25">
      <c r="A28" s="699">
        <v>17</v>
      </c>
      <c r="B28" s="424" t="s">
        <v>905</v>
      </c>
      <c r="C28" s="19">
        <v>152</v>
      </c>
      <c r="D28" s="425">
        <v>16550</v>
      </c>
      <c r="E28" s="704">
        <v>40</v>
      </c>
      <c r="F28" s="427">
        <v>662000</v>
      </c>
      <c r="G28" s="19">
        <v>152</v>
      </c>
      <c r="H28" s="29">
        <v>324360</v>
      </c>
      <c r="I28" s="703">
        <v>40</v>
      </c>
      <c r="J28" s="29">
        <v>8109</v>
      </c>
      <c r="K28" s="561">
        <f t="shared" si="0"/>
        <v>24.560199999999998</v>
      </c>
      <c r="L28" s="561">
        <f t="shared" si="1"/>
        <v>16.351400000000002</v>
      </c>
      <c r="M28" s="707">
        <f t="shared" si="2"/>
        <v>8.2087999999999965</v>
      </c>
      <c r="O28" s="464">
        <f>M28+'T5A_PLAN_vs_PRFM '!P28</f>
        <v>8.2087999999999965</v>
      </c>
      <c r="P28" s="707">
        <f>L28+'T5A_PLAN_vs_PRFM '!O28</f>
        <v>499.66540000000003</v>
      </c>
      <c r="Q28" s="707">
        <v>156.9378290078495</v>
      </c>
      <c r="R28" s="464">
        <f t="shared" si="3"/>
        <v>1.6411698113207547</v>
      </c>
      <c r="S28" s="464">
        <f t="shared" si="4"/>
        <v>158.57899881917027</v>
      </c>
    </row>
    <row r="29" spans="1:19" ht="14.25">
      <c r="A29" s="699">
        <v>18</v>
      </c>
      <c r="B29" s="424" t="s">
        <v>906</v>
      </c>
      <c r="C29" s="19">
        <v>426</v>
      </c>
      <c r="D29" s="425">
        <v>33850</v>
      </c>
      <c r="E29" s="704">
        <v>40</v>
      </c>
      <c r="F29" s="427">
        <v>1354000</v>
      </c>
      <c r="G29" s="19">
        <v>426</v>
      </c>
      <c r="H29" s="29">
        <v>460360</v>
      </c>
      <c r="I29" s="703">
        <v>40</v>
      </c>
      <c r="J29" s="29">
        <v>11509</v>
      </c>
      <c r="K29" s="561">
        <f t="shared" si="0"/>
        <v>50.233400000000003</v>
      </c>
      <c r="L29" s="561">
        <f t="shared" si="1"/>
        <v>33.443800000000003</v>
      </c>
      <c r="M29" s="707">
        <f t="shared" si="2"/>
        <v>16.7896</v>
      </c>
      <c r="O29" s="464">
        <f>M29+'T5A_PLAN_vs_PRFM '!P29</f>
        <v>16.7896</v>
      </c>
      <c r="P29" s="707">
        <f>L29+'T5A_PLAN_vs_PRFM '!O29</f>
        <v>177.70511200000001</v>
      </c>
      <c r="Q29" s="707">
        <v>75.067082950286405</v>
      </c>
      <c r="R29" s="464">
        <f t="shared" si="3"/>
        <v>4.5995943396226409</v>
      </c>
      <c r="S29" s="464">
        <f t="shared" si="4"/>
        <v>79.666677289909046</v>
      </c>
    </row>
    <row r="30" spans="1:19" ht="14.25">
      <c r="A30" s="699">
        <v>19</v>
      </c>
      <c r="B30" s="424"/>
      <c r="C30" s="19"/>
      <c r="D30" s="425"/>
      <c r="E30" s="704"/>
      <c r="F30" s="427"/>
      <c r="G30" s="19"/>
      <c r="H30" s="29"/>
      <c r="I30" s="703"/>
      <c r="J30" s="29"/>
      <c r="K30" s="561">
        <f t="shared" si="0"/>
        <v>0</v>
      </c>
      <c r="L30" s="561">
        <f t="shared" si="1"/>
        <v>0</v>
      </c>
      <c r="M30" s="707">
        <f t="shared" si="2"/>
        <v>0</v>
      </c>
      <c r="O30" s="464">
        <f>M30+'T5A_PLAN_vs_PRFM '!P30</f>
        <v>0</v>
      </c>
      <c r="P30" s="707">
        <f>L30+'T5A_PLAN_vs_PRFM '!O30</f>
        <v>275.17380800000001</v>
      </c>
      <c r="Q30" s="707">
        <v>72.648002734365789</v>
      </c>
      <c r="R30" s="464">
        <f t="shared" si="3"/>
        <v>0</v>
      </c>
      <c r="S30" s="464">
        <f t="shared" si="4"/>
        <v>72.648002734365789</v>
      </c>
    </row>
    <row r="31" spans="1:19" ht="14.25">
      <c r="A31" s="699">
        <v>20</v>
      </c>
      <c r="B31" s="424"/>
      <c r="C31" s="19"/>
      <c r="D31" s="425"/>
      <c r="E31" s="704"/>
      <c r="F31" s="427"/>
      <c r="G31" s="19"/>
      <c r="H31" s="29"/>
      <c r="I31" s="703"/>
      <c r="J31" s="29"/>
      <c r="K31" s="561">
        <f t="shared" si="0"/>
        <v>0</v>
      </c>
      <c r="L31" s="561">
        <f t="shared" si="1"/>
        <v>0</v>
      </c>
      <c r="M31" s="707">
        <f t="shared" si="2"/>
        <v>0</v>
      </c>
      <c r="O31" s="464">
        <f>M31+'T5A_PLAN_vs_PRFM '!P31</f>
        <v>0</v>
      </c>
      <c r="P31" s="707">
        <f>L31+'T5A_PLAN_vs_PRFM '!O31</f>
        <v>241.05078400000002</v>
      </c>
      <c r="Q31" s="707">
        <v>88.825601678334863</v>
      </c>
      <c r="R31" s="464">
        <f t="shared" si="3"/>
        <v>0</v>
      </c>
      <c r="S31" s="464">
        <f t="shared" si="4"/>
        <v>88.825601678334863</v>
      </c>
    </row>
    <row r="32" spans="1:19" ht="14.25">
      <c r="A32" s="699">
        <v>21</v>
      </c>
      <c r="B32" s="424" t="s">
        <v>909</v>
      </c>
      <c r="C32" s="19">
        <v>79</v>
      </c>
      <c r="D32" s="425">
        <v>6600</v>
      </c>
      <c r="E32" s="704">
        <v>40</v>
      </c>
      <c r="F32" s="427">
        <v>264000</v>
      </c>
      <c r="G32" s="19">
        <v>79</v>
      </c>
      <c r="H32" s="29">
        <v>100320</v>
      </c>
      <c r="I32" s="703">
        <v>40</v>
      </c>
      <c r="J32" s="29">
        <v>2508</v>
      </c>
      <c r="K32" s="561">
        <f t="shared" si="0"/>
        <v>9.7943999999999996</v>
      </c>
      <c r="L32" s="561">
        <f t="shared" si="1"/>
        <v>6.5208000000000004</v>
      </c>
      <c r="M32" s="707">
        <f t="shared" si="2"/>
        <v>3.2735999999999992</v>
      </c>
      <c r="O32" s="464">
        <f>M32+'T5A_PLAN_vs_PRFM '!P32</f>
        <v>3.2735999999999992</v>
      </c>
      <c r="P32" s="707">
        <f>L32+'T5A_PLAN_vs_PRFM '!O32</f>
        <v>195.9256</v>
      </c>
      <c r="Q32" s="707">
        <v>78.317721990429717</v>
      </c>
      <c r="R32" s="464">
        <f t="shared" si="3"/>
        <v>0.85297641509433964</v>
      </c>
      <c r="S32" s="464">
        <f t="shared" si="4"/>
        <v>79.170698405524064</v>
      </c>
    </row>
    <row r="33" spans="1:19" ht="14.25">
      <c r="A33" s="699">
        <v>22</v>
      </c>
      <c r="B33" s="424" t="s">
        <v>910</v>
      </c>
      <c r="C33" s="19">
        <v>165</v>
      </c>
      <c r="D33" s="425">
        <v>18800</v>
      </c>
      <c r="E33" s="704">
        <v>40</v>
      </c>
      <c r="F33" s="427">
        <v>752000</v>
      </c>
      <c r="G33" s="19">
        <v>165</v>
      </c>
      <c r="H33" s="29">
        <v>323360</v>
      </c>
      <c r="I33" s="703">
        <v>40</v>
      </c>
      <c r="J33" s="29">
        <v>8084</v>
      </c>
      <c r="K33" s="561">
        <f t="shared" si="0"/>
        <v>27.8992</v>
      </c>
      <c r="L33" s="561">
        <f t="shared" si="1"/>
        <v>18.574400000000001</v>
      </c>
      <c r="M33" s="707">
        <f t="shared" si="2"/>
        <v>9.3247999999999998</v>
      </c>
      <c r="O33" s="464">
        <f>M33+'T5A_PLAN_vs_PRFM '!P33</f>
        <v>9.3247999999999998</v>
      </c>
      <c r="P33" s="707">
        <f>L33+'T5A_PLAN_vs_PRFM '!O33</f>
        <v>416.336544</v>
      </c>
      <c r="Q33" s="707">
        <v>153.76278622445372</v>
      </c>
      <c r="R33" s="464">
        <f t="shared" si="3"/>
        <v>1.7815330188679244</v>
      </c>
      <c r="S33" s="464">
        <f t="shared" si="4"/>
        <v>155.54431924332164</v>
      </c>
    </row>
    <row r="34" spans="1:19" ht="14.25">
      <c r="A34" s="699">
        <v>23</v>
      </c>
      <c r="B34" s="424"/>
      <c r="C34" s="19"/>
      <c r="D34" s="425"/>
      <c r="E34" s="704"/>
      <c r="F34" s="427"/>
      <c r="G34" s="19"/>
      <c r="H34" s="29"/>
      <c r="I34" s="703"/>
      <c r="J34" s="29"/>
      <c r="K34" s="561">
        <f t="shared" si="0"/>
        <v>0</v>
      </c>
      <c r="L34" s="561">
        <f t="shared" si="1"/>
        <v>0</v>
      </c>
      <c r="M34" s="707">
        <f t="shared" si="2"/>
        <v>0</v>
      </c>
      <c r="O34" s="464">
        <f>M34+'T5A_PLAN_vs_PRFM '!P34</f>
        <v>0</v>
      </c>
      <c r="P34" s="707">
        <f>L34+'T5A_PLAN_vs_PRFM '!O34</f>
        <v>191.81156799999999</v>
      </c>
      <c r="Q34" s="707">
        <v>49.817933196615044</v>
      </c>
      <c r="R34" s="464">
        <f t="shared" si="3"/>
        <v>0</v>
      </c>
      <c r="S34" s="464">
        <f t="shared" si="4"/>
        <v>49.817933196615044</v>
      </c>
    </row>
    <row r="35" spans="1:19" ht="14.25">
      <c r="A35" s="699">
        <v>24</v>
      </c>
      <c r="B35" s="424"/>
      <c r="C35" s="19"/>
      <c r="D35" s="425"/>
      <c r="E35" s="704"/>
      <c r="F35" s="427"/>
      <c r="G35" s="19"/>
      <c r="H35" s="29"/>
      <c r="I35" s="703"/>
      <c r="J35" s="29"/>
      <c r="K35" s="561">
        <f t="shared" si="0"/>
        <v>0</v>
      </c>
      <c r="L35" s="561">
        <f t="shared" si="1"/>
        <v>0</v>
      </c>
      <c r="M35" s="707">
        <f t="shared" si="2"/>
        <v>0</v>
      </c>
      <c r="O35" s="464">
        <f>M35+'T5A_PLAN_vs_PRFM '!P35</f>
        <v>0</v>
      </c>
      <c r="P35" s="707">
        <f>L35+'T5A_PLAN_vs_PRFM '!O35</f>
        <v>185.97862400000002</v>
      </c>
      <c r="Q35" s="707">
        <v>61.384160478985457</v>
      </c>
      <c r="R35" s="464">
        <f t="shared" si="3"/>
        <v>0</v>
      </c>
      <c r="S35" s="464">
        <f t="shared" si="4"/>
        <v>61.384160478985457</v>
      </c>
    </row>
    <row r="36" spans="1:19" ht="14.25">
      <c r="A36" s="699">
        <v>25</v>
      </c>
      <c r="B36" s="424" t="s">
        <v>913</v>
      </c>
      <c r="C36" s="19">
        <v>19</v>
      </c>
      <c r="D36" s="425">
        <v>2300</v>
      </c>
      <c r="E36" s="704">
        <v>40</v>
      </c>
      <c r="F36" s="427">
        <v>92000</v>
      </c>
      <c r="G36" s="19">
        <v>19</v>
      </c>
      <c r="H36" s="29">
        <v>42320</v>
      </c>
      <c r="I36" s="703">
        <v>40</v>
      </c>
      <c r="J36" s="29">
        <v>1058</v>
      </c>
      <c r="K36" s="561">
        <f t="shared" si="0"/>
        <v>3.4131999999999998</v>
      </c>
      <c r="L36" s="561">
        <f t="shared" si="1"/>
        <v>2.2724000000000002</v>
      </c>
      <c r="M36" s="707">
        <f t="shared" si="2"/>
        <v>1.1407999999999996</v>
      </c>
      <c r="O36" s="464">
        <f>M36+'T5A_PLAN_vs_PRFM '!P36</f>
        <v>1.1407999999999996</v>
      </c>
      <c r="P36" s="707">
        <f>L36+'T5A_PLAN_vs_PRFM '!O36</f>
        <v>485.31495999999999</v>
      </c>
      <c r="Q36" s="707">
        <v>162.98552954765103</v>
      </c>
      <c r="R36" s="464">
        <f t="shared" si="3"/>
        <v>0.20514622641509433</v>
      </c>
      <c r="S36" s="464">
        <f t="shared" si="4"/>
        <v>163.19067577406611</v>
      </c>
    </row>
    <row r="37" spans="1:19" ht="14.25">
      <c r="A37" s="699">
        <v>26</v>
      </c>
      <c r="B37" s="424"/>
      <c r="C37" s="19"/>
      <c r="D37" s="425"/>
      <c r="E37" s="704"/>
      <c r="F37" s="427"/>
      <c r="G37" s="19"/>
      <c r="H37" s="29"/>
      <c r="I37" s="703"/>
      <c r="J37" s="29"/>
      <c r="K37" s="561">
        <f t="shared" si="0"/>
        <v>0</v>
      </c>
      <c r="L37" s="561">
        <f t="shared" si="1"/>
        <v>0</v>
      </c>
      <c r="M37" s="707">
        <f t="shared" si="2"/>
        <v>0</v>
      </c>
      <c r="O37" s="464">
        <f>M37+'T5A_PLAN_vs_PRFM '!P37</f>
        <v>0</v>
      </c>
      <c r="P37" s="707">
        <f>L37+'T5A_PLAN_vs_PRFM '!O37</f>
        <v>353.84315200000003</v>
      </c>
      <c r="Q37" s="707">
        <v>173.03983169507106</v>
      </c>
      <c r="R37" s="464">
        <f t="shared" si="3"/>
        <v>0</v>
      </c>
      <c r="S37" s="464">
        <f t="shared" si="4"/>
        <v>173.03983169507106</v>
      </c>
    </row>
    <row r="38" spans="1:19" ht="14.25">
      <c r="A38" s="699">
        <v>27</v>
      </c>
      <c r="B38" s="424"/>
      <c r="C38" s="19"/>
      <c r="D38" s="425"/>
      <c r="E38" s="704"/>
      <c r="F38" s="427"/>
      <c r="G38" s="19"/>
      <c r="H38" s="29"/>
      <c r="I38" s="703"/>
      <c r="J38" s="29"/>
      <c r="K38" s="561">
        <f t="shared" si="0"/>
        <v>0</v>
      </c>
      <c r="L38" s="561">
        <f t="shared" si="1"/>
        <v>0</v>
      </c>
      <c r="M38" s="707">
        <f t="shared" si="2"/>
        <v>0</v>
      </c>
      <c r="O38" s="464">
        <f>M38+'T5A_PLAN_vs_PRFM '!P38</f>
        <v>0</v>
      </c>
      <c r="P38" s="707">
        <f>L38+'T5A_PLAN_vs_PRFM '!O38</f>
        <v>210.75808000000001</v>
      </c>
      <c r="Q38" s="707">
        <v>61.384160478985457</v>
      </c>
      <c r="R38" s="464">
        <f t="shared" si="3"/>
        <v>0</v>
      </c>
      <c r="S38" s="464">
        <f t="shared" si="4"/>
        <v>61.384160478985457</v>
      </c>
    </row>
    <row r="39" spans="1:19" ht="14.25">
      <c r="A39" s="699">
        <v>28</v>
      </c>
      <c r="B39" s="424"/>
      <c r="C39" s="19"/>
      <c r="D39" s="425"/>
      <c r="E39" s="704"/>
      <c r="F39" s="427"/>
      <c r="G39" s="19"/>
      <c r="H39" s="29"/>
      <c r="I39" s="703"/>
      <c r="J39" s="29"/>
      <c r="K39" s="561">
        <f t="shared" si="0"/>
        <v>0</v>
      </c>
      <c r="L39" s="561">
        <f t="shared" si="1"/>
        <v>0</v>
      </c>
      <c r="M39" s="707">
        <f t="shared" si="2"/>
        <v>0</v>
      </c>
      <c r="O39" s="464">
        <f>M39+'T5A_PLAN_vs_PRFM '!P39</f>
        <v>0</v>
      </c>
      <c r="P39" s="707">
        <f>L39+'T5A_PLAN_vs_PRFM '!O39</f>
        <v>249.37494400000003</v>
      </c>
      <c r="Q39" s="707">
        <v>71.211673856162932</v>
      </c>
      <c r="R39" s="464">
        <f t="shared" si="3"/>
        <v>0</v>
      </c>
      <c r="S39" s="464">
        <f t="shared" si="4"/>
        <v>71.211673856162932</v>
      </c>
    </row>
    <row r="40" spans="1:19" ht="14.25">
      <c r="A40" s="699">
        <v>29</v>
      </c>
      <c r="B40" s="424" t="s">
        <v>917</v>
      </c>
      <c r="C40" s="19">
        <v>181</v>
      </c>
      <c r="D40" s="425">
        <v>27100</v>
      </c>
      <c r="E40" s="704">
        <v>40</v>
      </c>
      <c r="F40" s="427">
        <v>1084000</v>
      </c>
      <c r="G40" s="19">
        <v>181</v>
      </c>
      <c r="H40" s="29">
        <v>422760</v>
      </c>
      <c r="I40" s="703">
        <v>40</v>
      </c>
      <c r="J40" s="29">
        <v>10569</v>
      </c>
      <c r="K40" s="561">
        <f t="shared" si="0"/>
        <v>40.2164</v>
      </c>
      <c r="L40" s="561">
        <f t="shared" si="1"/>
        <v>26.774799999999999</v>
      </c>
      <c r="M40" s="707">
        <f t="shared" si="2"/>
        <v>13.441600000000001</v>
      </c>
      <c r="O40" s="464">
        <f>M40+'T5A_PLAN_vs_PRFM '!P40</f>
        <v>13.441600000000001</v>
      </c>
      <c r="P40" s="707">
        <f>L40+'T5A_PLAN_vs_PRFM '!O40</f>
        <v>199.69414400000002</v>
      </c>
      <c r="Q40" s="707">
        <v>43.014270089338332</v>
      </c>
      <c r="R40" s="464">
        <f t="shared" si="3"/>
        <v>1.9542877358490565</v>
      </c>
      <c r="S40" s="464">
        <f t="shared" si="4"/>
        <v>44.968557825187389</v>
      </c>
    </row>
    <row r="41" spans="1:19" ht="14.25">
      <c r="A41" s="699">
        <v>30</v>
      </c>
      <c r="B41" s="424"/>
      <c r="C41" s="19"/>
      <c r="D41" s="425"/>
      <c r="E41" s="704"/>
      <c r="F41" s="427"/>
      <c r="G41" s="19"/>
      <c r="H41" s="29"/>
      <c r="I41" s="703"/>
      <c r="J41" s="29"/>
      <c r="K41" s="561">
        <f t="shared" si="0"/>
        <v>0</v>
      </c>
      <c r="L41" s="561">
        <f t="shared" si="1"/>
        <v>0</v>
      </c>
      <c r="M41" s="707">
        <f t="shared" si="2"/>
        <v>0</v>
      </c>
      <c r="O41" s="464">
        <f>M41+'T5A_PLAN_vs_PRFM '!P41</f>
        <v>0</v>
      </c>
      <c r="P41" s="707">
        <f>L41+'T5A_PLAN_vs_PRFM '!O41</f>
        <v>284.209744</v>
      </c>
      <c r="Q41" s="707">
        <v>98.577518798764814</v>
      </c>
      <c r="R41" s="464">
        <f t="shared" si="3"/>
        <v>0</v>
      </c>
      <c r="S41" s="464">
        <f t="shared" si="4"/>
        <v>98.577518798764814</v>
      </c>
    </row>
    <row r="42" spans="1:19" ht="14.25">
      <c r="A42" s="699">
        <v>31</v>
      </c>
      <c r="B42" s="424"/>
      <c r="C42" s="19"/>
      <c r="D42" s="425"/>
      <c r="E42" s="704"/>
      <c r="F42" s="427"/>
      <c r="G42" s="19"/>
      <c r="H42" s="29"/>
      <c r="I42" s="703"/>
      <c r="J42" s="29"/>
      <c r="K42" s="561">
        <f t="shared" si="0"/>
        <v>0</v>
      </c>
      <c r="L42" s="561">
        <f t="shared" si="1"/>
        <v>0</v>
      </c>
      <c r="M42" s="707">
        <f t="shared" si="2"/>
        <v>0</v>
      </c>
      <c r="O42" s="464">
        <f>M42+'T5A_PLAN_vs_PRFM '!P42</f>
        <v>0</v>
      </c>
      <c r="P42" s="707">
        <f>L42+'T5A_PLAN_vs_PRFM '!O42</f>
        <v>155.51702399999999</v>
      </c>
      <c r="Q42" s="707">
        <v>59.040676519812365</v>
      </c>
      <c r="R42" s="464">
        <f t="shared" si="3"/>
        <v>0</v>
      </c>
      <c r="S42" s="464">
        <f t="shared" si="4"/>
        <v>59.040676519812365</v>
      </c>
    </row>
    <row r="43" spans="1:19" ht="14.25">
      <c r="A43" s="699">
        <v>32</v>
      </c>
      <c r="B43" s="424"/>
      <c r="C43" s="19"/>
      <c r="D43" s="425"/>
      <c r="E43" s="704"/>
      <c r="F43" s="427"/>
      <c r="G43" s="19"/>
      <c r="H43" s="29"/>
      <c r="I43" s="703"/>
      <c r="J43" s="29"/>
      <c r="K43" s="561">
        <f t="shared" si="0"/>
        <v>0</v>
      </c>
      <c r="L43" s="561">
        <f t="shared" si="1"/>
        <v>0</v>
      </c>
      <c r="M43" s="707">
        <f t="shared" si="2"/>
        <v>0</v>
      </c>
      <c r="O43" s="464">
        <f>M43+'T5A_PLAN_vs_PRFM '!P43</f>
        <v>0</v>
      </c>
      <c r="P43" s="707">
        <f>L43+'T5A_PLAN_vs_PRFM '!O43</f>
        <v>188.02950400000003</v>
      </c>
      <c r="Q43" s="707">
        <v>108.55622468943733</v>
      </c>
      <c r="R43" s="464">
        <f t="shared" si="3"/>
        <v>0</v>
      </c>
      <c r="S43" s="464">
        <f t="shared" si="4"/>
        <v>108.55622468943733</v>
      </c>
    </row>
    <row r="44" spans="1:19" ht="14.25">
      <c r="A44" s="699">
        <v>33</v>
      </c>
      <c r="B44" s="424"/>
      <c r="C44" s="19"/>
      <c r="D44" s="425"/>
      <c r="E44" s="704"/>
      <c r="F44" s="427"/>
      <c r="G44" s="19"/>
      <c r="H44" s="29"/>
      <c r="I44" s="703"/>
      <c r="J44" s="29"/>
      <c r="K44" s="561">
        <f t="shared" si="0"/>
        <v>0</v>
      </c>
      <c r="L44" s="561">
        <f t="shared" si="1"/>
        <v>0</v>
      </c>
      <c r="M44" s="707">
        <f t="shared" si="2"/>
        <v>0</v>
      </c>
      <c r="O44" s="464">
        <f>M44+'T5A_PLAN_vs_PRFM '!P44</f>
        <v>0</v>
      </c>
      <c r="P44" s="707">
        <f>L44+'T5A_PLAN_vs_PRFM '!O44</f>
        <v>485.06328000000002</v>
      </c>
      <c r="Q44" s="707">
        <v>203.27833439407868</v>
      </c>
      <c r="R44" s="464">
        <f t="shared" si="3"/>
        <v>0</v>
      </c>
      <c r="S44" s="464">
        <f t="shared" si="4"/>
        <v>203.27833439407868</v>
      </c>
    </row>
    <row r="45" spans="1:19">
      <c r="A45" s="696" t="s">
        <v>19</v>
      </c>
      <c r="B45" s="30"/>
      <c r="C45" s="30">
        <v>2120</v>
      </c>
      <c r="D45" s="426">
        <v>260400</v>
      </c>
      <c r="E45" s="19"/>
      <c r="F45" s="702">
        <v>10416000</v>
      </c>
      <c r="G45" s="19">
        <v>2120</v>
      </c>
      <c r="H45" s="19">
        <v>4267840</v>
      </c>
      <c r="I45" s="19"/>
      <c r="J45" s="29">
        <v>106696</v>
      </c>
      <c r="K45" s="707">
        <f>E45*D45*0.0001</f>
        <v>0</v>
      </c>
      <c r="L45" s="707">
        <f t="shared" ref="L45" si="5">K45*70/100</f>
        <v>0</v>
      </c>
      <c r="M45" s="707">
        <f t="shared" si="2"/>
        <v>0</v>
      </c>
      <c r="Q45" s="707">
        <f>SUM(Q12:Q44)</f>
        <v>3207.0199999999991</v>
      </c>
      <c r="R45" s="464">
        <f t="shared" si="3"/>
        <v>22.89</v>
      </c>
      <c r="S45" s="464">
        <f t="shared" si="4"/>
        <v>3229.9099999999989</v>
      </c>
    </row>
    <row r="46" spans="1:19">
      <c r="A46" s="11"/>
      <c r="B46" s="31"/>
      <c r="C46" s="31"/>
      <c r="D46" s="22"/>
      <c r="E46" s="22"/>
      <c r="F46" s="22"/>
      <c r="G46" s="22"/>
      <c r="H46" s="22"/>
      <c r="I46" s="22"/>
      <c r="J46" s="22"/>
    </row>
    <row r="47" spans="1:19">
      <c r="A47" s="944" t="s">
        <v>874</v>
      </c>
      <c r="B47" s="944"/>
      <c r="C47" s="944"/>
      <c r="D47" s="944"/>
      <c r="E47" s="944"/>
      <c r="F47" s="944"/>
      <c r="G47" s="944"/>
      <c r="H47" s="944"/>
      <c r="I47" s="22"/>
      <c r="J47" s="22"/>
    </row>
    <row r="48" spans="1:19">
      <c r="A48" s="11"/>
      <c r="B48" s="31"/>
      <c r="C48" s="31"/>
      <c r="D48" s="22"/>
      <c r="E48" s="22"/>
      <c r="F48" s="22"/>
      <c r="G48" s="22"/>
      <c r="H48" s="22"/>
      <c r="I48" s="22"/>
      <c r="J48" s="22"/>
    </row>
    <row r="49" spans="1:10" ht="15.75" customHeight="1">
      <c r="A49" s="14" t="s">
        <v>12</v>
      </c>
      <c r="B49" s="14"/>
      <c r="C49" s="14"/>
      <c r="D49" s="14"/>
      <c r="E49" s="14"/>
      <c r="F49" s="14"/>
      <c r="G49" s="14"/>
      <c r="I49" s="866" t="s">
        <v>13</v>
      </c>
      <c r="J49" s="866"/>
    </row>
    <row r="50" spans="1:10" ht="12.75" customHeight="1">
      <c r="A50" s="871" t="s">
        <v>14</v>
      </c>
      <c r="B50" s="871"/>
      <c r="C50" s="871"/>
      <c r="D50" s="871"/>
      <c r="E50" s="871"/>
      <c r="F50" s="871"/>
      <c r="G50" s="871"/>
      <c r="H50" s="871"/>
      <c r="I50" s="871"/>
      <c r="J50" s="871"/>
    </row>
    <row r="51" spans="1:10" ht="12.75" customHeight="1">
      <c r="A51" s="871" t="s">
        <v>20</v>
      </c>
      <c r="B51" s="871"/>
      <c r="C51" s="871"/>
      <c r="D51" s="871"/>
      <c r="E51" s="871"/>
      <c r="F51" s="871"/>
      <c r="G51" s="871"/>
      <c r="H51" s="871"/>
      <c r="I51" s="871"/>
      <c r="J51" s="871"/>
    </row>
    <row r="52" spans="1:10">
      <c r="A52" s="14"/>
      <c r="B52" s="14"/>
      <c r="C52" s="14"/>
      <c r="E52" s="14"/>
      <c r="H52" s="850" t="s">
        <v>87</v>
      </c>
      <c r="I52" s="850"/>
      <c r="J52" s="850"/>
    </row>
    <row r="56" spans="1:10">
      <c r="A56" s="945"/>
      <c r="B56" s="945"/>
      <c r="C56" s="945"/>
      <c r="D56" s="945"/>
      <c r="E56" s="945"/>
      <c r="F56" s="945"/>
      <c r="G56" s="945"/>
      <c r="H56" s="945"/>
      <c r="I56" s="945"/>
      <c r="J56" s="945"/>
    </row>
    <row r="58" spans="1:10">
      <c r="A58" s="945"/>
      <c r="B58" s="945"/>
      <c r="C58" s="945"/>
      <c r="D58" s="945"/>
      <c r="E58" s="945"/>
      <c r="F58" s="945"/>
      <c r="G58" s="945"/>
      <c r="H58" s="945"/>
      <c r="I58" s="945"/>
      <c r="J58" s="945"/>
    </row>
  </sheetData>
  <mergeCells count="17">
    <mergeCell ref="I49:J49"/>
    <mergeCell ref="E1:I1"/>
    <mergeCell ref="A2:J2"/>
    <mergeCell ref="A3:J3"/>
    <mergeCell ref="A5:J5"/>
    <mergeCell ref="A8:B8"/>
    <mergeCell ref="H8:J8"/>
    <mergeCell ref="A9:A10"/>
    <mergeCell ref="B9:B10"/>
    <mergeCell ref="C9:F9"/>
    <mergeCell ref="G9:J9"/>
    <mergeCell ref="A47:H47"/>
    <mergeCell ref="A50:J50"/>
    <mergeCell ref="A51:J51"/>
    <mergeCell ref="H52:J52"/>
    <mergeCell ref="A56:J56"/>
    <mergeCell ref="A58:J58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U53"/>
  <sheetViews>
    <sheetView view="pageBreakPreview" topLeftCell="A31" zoomScale="90" zoomScaleSheetLayoutView="90" workbookViewId="0">
      <selection activeCell="J47" sqref="J47"/>
    </sheetView>
  </sheetViews>
  <sheetFormatPr defaultRowHeight="12.75"/>
  <cols>
    <col min="1" max="1" width="6.7109375" style="15" customWidth="1"/>
    <col min="2" max="2" width="14.42578125" style="15" customWidth="1"/>
    <col min="3" max="3" width="12" style="15" customWidth="1"/>
    <col min="4" max="4" width="10.42578125" style="15" customWidth="1"/>
    <col min="5" max="5" width="10.140625" style="15" customWidth="1"/>
    <col min="6" max="6" width="13" style="15" customWidth="1"/>
    <col min="7" max="7" width="15.140625" style="15" customWidth="1"/>
    <col min="8" max="8" width="12.42578125" style="15" customWidth="1"/>
    <col min="9" max="9" width="12.140625" style="15" customWidth="1"/>
    <col min="10" max="10" width="11.7109375" style="15" customWidth="1"/>
    <col min="11" max="11" width="12" style="15" customWidth="1"/>
    <col min="12" max="12" width="14.140625" style="15" customWidth="1"/>
    <col min="13" max="17" width="14.140625" style="654" customWidth="1"/>
    <col min="18" max="19" width="14.140625" style="717" customWidth="1"/>
    <col min="20" max="20" width="14.140625" style="654" customWidth="1"/>
    <col min="21" max="22" width="14.140625" style="509" customWidth="1"/>
    <col min="23" max="24" width="14.140625" style="654" customWidth="1"/>
    <col min="25" max="30" width="14.140625" style="509" customWidth="1"/>
    <col min="31" max="39" width="14.140625" style="654" customWidth="1"/>
    <col min="40" max="40" width="14.140625" style="509" customWidth="1"/>
    <col min="41" max="41" width="9.140625" style="15"/>
    <col min="42" max="42" width="10.85546875" style="15" customWidth="1"/>
    <col min="43" max="44" width="9.140625" style="15"/>
    <col min="45" max="45" width="9.140625" style="509"/>
    <col min="46" max="46" width="16.140625" style="15" bestFit="1" customWidth="1"/>
    <col min="47" max="47" width="14.5703125" style="15" customWidth="1"/>
    <col min="48" max="16384" width="9.140625" style="15"/>
  </cols>
  <sheetData>
    <row r="1" spans="1:47" customFormat="1" ht="15">
      <c r="D1" s="36"/>
      <c r="E1" s="36"/>
      <c r="F1" s="36"/>
      <c r="G1" s="36"/>
      <c r="H1" s="36"/>
      <c r="I1" s="36"/>
      <c r="J1" s="36"/>
      <c r="K1" s="36"/>
      <c r="L1" s="946" t="s">
        <v>66</v>
      </c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  <c r="AJ1" s="946"/>
      <c r="AK1" s="946"/>
      <c r="AL1" s="946"/>
      <c r="AM1" s="946"/>
      <c r="AN1" s="946"/>
      <c r="AO1" s="946"/>
      <c r="AP1" s="43"/>
      <c r="AQ1" s="43"/>
    </row>
    <row r="2" spans="1:47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650"/>
      <c r="N2" s="650"/>
      <c r="O2" s="650"/>
      <c r="P2" s="650"/>
      <c r="Q2" s="650"/>
      <c r="R2" s="714"/>
      <c r="S2" s="714"/>
      <c r="T2" s="650"/>
      <c r="U2" s="506"/>
      <c r="V2" s="506"/>
      <c r="W2" s="650"/>
      <c r="X2" s="650"/>
      <c r="Y2" s="506"/>
      <c r="Z2" s="506"/>
      <c r="AA2" s="506"/>
      <c r="AB2" s="506"/>
      <c r="AC2" s="506"/>
      <c r="AD2" s="506"/>
      <c r="AE2" s="650"/>
      <c r="AF2" s="650"/>
      <c r="AG2" s="650"/>
      <c r="AH2" s="650"/>
      <c r="AI2" s="650"/>
      <c r="AJ2" s="650"/>
      <c r="AK2" s="650"/>
      <c r="AL2" s="650"/>
      <c r="AM2" s="650"/>
      <c r="AN2" s="506"/>
      <c r="AO2" s="45"/>
      <c r="AP2" s="45"/>
      <c r="AQ2" s="45"/>
    </row>
    <row r="3" spans="1:47" customFormat="1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645"/>
      <c r="N3" s="645"/>
      <c r="O3" s="645"/>
      <c r="P3" s="645"/>
      <c r="Q3" s="645"/>
      <c r="R3" s="713"/>
      <c r="S3" s="713"/>
      <c r="T3" s="645"/>
      <c r="U3" s="500"/>
      <c r="V3" s="500"/>
      <c r="W3" s="645"/>
      <c r="X3" s="645"/>
      <c r="Y3" s="500"/>
      <c r="Z3" s="500"/>
      <c r="AA3" s="500"/>
      <c r="AB3" s="500"/>
      <c r="AC3" s="500"/>
      <c r="AD3" s="500"/>
      <c r="AE3" s="645"/>
      <c r="AF3" s="645"/>
      <c r="AG3" s="645"/>
      <c r="AH3" s="645"/>
      <c r="AI3" s="645"/>
      <c r="AJ3" s="645"/>
      <c r="AK3" s="645"/>
      <c r="AL3" s="645"/>
      <c r="AM3" s="645"/>
      <c r="AN3" s="500"/>
      <c r="AO3" s="44"/>
      <c r="AP3" s="44"/>
      <c r="AQ3" s="44"/>
    </row>
    <row r="4" spans="1:47" customFormat="1" ht="10.5" customHeight="1"/>
    <row r="5" spans="1:47" ht="19.5" customHeight="1">
      <c r="A5" s="933" t="s">
        <v>758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651"/>
      <c r="N5" s="651"/>
      <c r="O5" s="651"/>
      <c r="P5" s="651"/>
      <c r="Q5" s="651"/>
      <c r="R5" s="715"/>
      <c r="S5" s="715"/>
      <c r="T5" s="651"/>
      <c r="U5" s="507"/>
      <c r="V5" s="507"/>
      <c r="W5" s="651"/>
      <c r="X5" s="651"/>
      <c r="Y5" s="507"/>
      <c r="Z5" s="507"/>
      <c r="AA5" s="507"/>
      <c r="AB5" s="507"/>
      <c r="AC5" s="507"/>
      <c r="AD5" s="507"/>
      <c r="AE5" s="651"/>
      <c r="AF5" s="651"/>
      <c r="AG5" s="651"/>
      <c r="AH5" s="651"/>
      <c r="AI5" s="651"/>
      <c r="AJ5" s="651"/>
      <c r="AK5" s="651"/>
      <c r="AL5" s="651"/>
      <c r="AM5" s="651"/>
      <c r="AN5" s="507"/>
    </row>
    <row r="6" spans="1:47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7">
      <c r="A7" s="850" t="s">
        <v>922</v>
      </c>
      <c r="B7" s="850"/>
      <c r="F7" s="947" t="s">
        <v>21</v>
      </c>
      <c r="G7" s="947"/>
      <c r="H7" s="947"/>
      <c r="I7" s="947"/>
      <c r="J7" s="947"/>
      <c r="K7" s="947"/>
      <c r="L7" s="947"/>
      <c r="M7" s="655"/>
      <c r="N7" s="655"/>
      <c r="O7" s="655"/>
      <c r="P7" s="655"/>
      <c r="Q7" s="655"/>
      <c r="R7" s="718"/>
      <c r="S7" s="718"/>
      <c r="T7" s="655"/>
      <c r="U7" s="510"/>
      <c r="V7" s="510"/>
      <c r="W7" s="655"/>
      <c r="X7" s="655"/>
      <c r="Y7" s="510"/>
      <c r="Z7" s="510"/>
      <c r="AA7" s="510"/>
      <c r="AB7" s="510"/>
      <c r="AC7" s="510"/>
      <c r="AD7" s="510"/>
      <c r="AE7" s="655"/>
      <c r="AF7" s="655"/>
      <c r="AG7" s="655"/>
      <c r="AH7" s="655"/>
      <c r="AI7" s="655"/>
      <c r="AJ7" s="655"/>
      <c r="AK7" s="655"/>
      <c r="AL7" s="655"/>
      <c r="AM7" s="655"/>
      <c r="AN7" s="510"/>
    </row>
    <row r="8" spans="1:47">
      <c r="A8" s="14"/>
      <c r="F8" s="16"/>
      <c r="G8" s="107"/>
      <c r="H8" s="107"/>
      <c r="I8" s="941" t="s">
        <v>785</v>
      </c>
      <c r="J8" s="941"/>
      <c r="K8" s="941"/>
      <c r="L8" s="941"/>
      <c r="M8" s="144"/>
      <c r="N8" s="144"/>
      <c r="O8" s="144"/>
      <c r="P8" s="144"/>
      <c r="Q8" s="144"/>
      <c r="R8" s="144"/>
      <c r="S8" s="144"/>
      <c r="T8" s="144"/>
      <c r="U8" s="144"/>
      <c r="V8" s="144">
        <v>1840.4328</v>
      </c>
      <c r="W8" s="144">
        <f>V8*75/100</f>
        <v>1380.3245999999999</v>
      </c>
      <c r="X8" s="144">
        <f>V8-W8</f>
        <v>460.10820000000012</v>
      </c>
      <c r="Y8" s="663">
        <f>F15+K15</f>
        <v>1840.42</v>
      </c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47" s="14" customFormat="1" ht="25.5">
      <c r="A9" s="844" t="s">
        <v>2</v>
      </c>
      <c r="B9" s="844" t="s">
        <v>3</v>
      </c>
      <c r="C9" s="829" t="s">
        <v>22</v>
      </c>
      <c r="D9" s="855"/>
      <c r="E9" s="855"/>
      <c r="F9" s="855"/>
      <c r="G9" s="855"/>
      <c r="H9" s="829" t="s">
        <v>45</v>
      </c>
      <c r="I9" s="855"/>
      <c r="J9" s="855"/>
      <c r="K9" s="855"/>
      <c r="L9" s="855"/>
      <c r="M9" s="127"/>
      <c r="N9" s="127"/>
      <c r="O9" s="127"/>
      <c r="P9" s="127"/>
      <c r="Q9" s="127" t="s">
        <v>1006</v>
      </c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T9" s="30"/>
      <c r="AU9" s="31"/>
    </row>
    <row r="10" spans="1:47" s="14" customFormat="1" ht="77.45" customHeight="1">
      <c r="A10" s="844"/>
      <c r="B10" s="844"/>
      <c r="C10" s="699" t="s">
        <v>1048</v>
      </c>
      <c r="D10" s="5" t="s">
        <v>791</v>
      </c>
      <c r="E10" s="5" t="s">
        <v>73</v>
      </c>
      <c r="F10" s="5" t="s">
        <v>74</v>
      </c>
      <c r="G10" s="5" t="s">
        <v>664</v>
      </c>
      <c r="H10" s="5" t="s">
        <v>759</v>
      </c>
      <c r="I10" s="5" t="s">
        <v>791</v>
      </c>
      <c r="J10" s="5" t="s">
        <v>73</v>
      </c>
      <c r="K10" s="5" t="s">
        <v>74</v>
      </c>
      <c r="L10" s="5" t="s">
        <v>665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</row>
    <row r="11" spans="1:47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</row>
    <row r="12" spans="1:47" ht="14.25">
      <c r="A12" s="421">
        <v>1</v>
      </c>
      <c r="B12" s="385" t="s">
        <v>889</v>
      </c>
      <c r="C12" s="705">
        <v>731.68391999999994</v>
      </c>
      <c r="D12" s="434">
        <v>20.061000000000035</v>
      </c>
      <c r="E12" s="439">
        <v>693.76099999999997</v>
      </c>
      <c r="F12" s="429">
        <v>712.91520000000003</v>
      </c>
      <c r="G12" s="558">
        <f>D12+E12-F12</f>
        <v>0.90679999999997563</v>
      </c>
      <c r="H12" s="428">
        <v>1707.2624800000003</v>
      </c>
      <c r="I12" s="28">
        <v>32.641999999999825</v>
      </c>
      <c r="J12" s="430">
        <v>1547.95</v>
      </c>
      <c r="K12" s="429">
        <v>1578.4688000000001</v>
      </c>
      <c r="L12" s="524">
        <f>I12+J12-K12</f>
        <v>2.1231999999997697</v>
      </c>
      <c r="M12" s="661">
        <f>C12+H12</f>
        <v>2438.9464000000003</v>
      </c>
      <c r="N12" s="661">
        <f t="shared" ref="N12:O12" si="0">D12+I12</f>
        <v>52.702999999999861</v>
      </c>
      <c r="O12" s="661">
        <f t="shared" si="0"/>
        <v>2241.7110000000002</v>
      </c>
      <c r="P12" s="661">
        <f>F12+K12</f>
        <v>2291.384</v>
      </c>
      <c r="Q12" s="661">
        <f>C12+H12</f>
        <v>2438.9464000000003</v>
      </c>
      <c r="R12" s="661">
        <f>F12+K12</f>
        <v>2291.384</v>
      </c>
      <c r="S12" s="661">
        <f>R12/Q12</f>
        <v>0.93949748137146427</v>
      </c>
      <c r="T12" s="661">
        <v>0.9395017455078144</v>
      </c>
      <c r="U12" s="560">
        <f>S12-T12</f>
        <v>-4.2641363501294549E-6</v>
      </c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55"/>
      <c r="AP12" s="537"/>
      <c r="AR12" s="537"/>
      <c r="AS12" s="537"/>
      <c r="AT12" s="537"/>
      <c r="AU12" s="464"/>
    </row>
    <row r="13" spans="1:47" ht="14.25">
      <c r="A13" s="421">
        <v>2</v>
      </c>
      <c r="B13" s="385" t="s">
        <v>890</v>
      </c>
      <c r="C13" s="705">
        <v>992.99016000000029</v>
      </c>
      <c r="D13" s="434">
        <v>32.424000000000092</v>
      </c>
      <c r="E13" s="439">
        <v>726.56700000000012</v>
      </c>
      <c r="F13" s="429">
        <v>757.54816000000005</v>
      </c>
      <c r="G13" s="558">
        <f t="shared" ref="G13:G44" si="1">D13+E13-F13</f>
        <v>1.4428400000001602</v>
      </c>
      <c r="H13" s="428">
        <v>2316.9770399999998</v>
      </c>
      <c r="I13" s="28">
        <v>39.528000000000247</v>
      </c>
      <c r="J13" s="430">
        <v>2202.21</v>
      </c>
      <c r="K13" s="429">
        <v>2240.2790399999999</v>
      </c>
      <c r="L13" s="524">
        <f t="shared" ref="L13:L44" si="2">I13+J13-K13</f>
        <v>1.4589600000003884</v>
      </c>
      <c r="M13" s="661">
        <f t="shared" ref="M13:M44" si="3">C13+H13</f>
        <v>3309.9672</v>
      </c>
      <c r="N13" s="661">
        <f t="shared" ref="N13:N44" si="4">D13+I13</f>
        <v>71.952000000000339</v>
      </c>
      <c r="O13" s="661">
        <f t="shared" ref="O13:O44" si="5">E13+J13</f>
        <v>2928.777</v>
      </c>
      <c r="P13" s="661">
        <f t="shared" ref="P13:P44" si="6">F13+K13</f>
        <v>2997.8271999999997</v>
      </c>
      <c r="Q13" s="661">
        <f t="shared" ref="Q13:Q44" si="7">C13+H13</f>
        <v>3309.9672</v>
      </c>
      <c r="R13" s="661">
        <f t="shared" ref="R13:R44" si="8">F13+K13</f>
        <v>2997.8271999999997</v>
      </c>
      <c r="S13" s="661">
        <f t="shared" ref="S13:S44" si="9">R13/Q13</f>
        <v>0.90569695071298584</v>
      </c>
      <c r="T13" s="661">
        <v>0.90569912596112734</v>
      </c>
      <c r="U13" s="560">
        <f t="shared" ref="U13:U44" si="10">S13-T13</f>
        <v>-2.1752481415004965E-6</v>
      </c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0"/>
      <c r="AJ13" s="560"/>
      <c r="AK13" s="560"/>
      <c r="AL13" s="560"/>
      <c r="AM13" s="560"/>
      <c r="AN13" s="555"/>
      <c r="AP13" s="537"/>
      <c r="AR13" s="537"/>
      <c r="AS13" s="537"/>
      <c r="AT13" s="537"/>
      <c r="AU13" s="464"/>
    </row>
    <row r="14" spans="1:47" ht="14.25">
      <c r="A14" s="421">
        <v>3</v>
      </c>
      <c r="B14" s="385" t="s">
        <v>891</v>
      </c>
      <c r="C14" s="705">
        <v>948.11904000000004</v>
      </c>
      <c r="D14" s="434">
        <v>34.419000000000096</v>
      </c>
      <c r="E14" s="439">
        <v>848.17000000000007</v>
      </c>
      <c r="F14" s="429">
        <v>881.12968000000001</v>
      </c>
      <c r="G14" s="558">
        <f t="shared" si="1"/>
        <v>1.4593200000001616</v>
      </c>
      <c r="H14" s="428">
        <v>2212.2777599999999</v>
      </c>
      <c r="I14" s="28">
        <v>65.87900000000036</v>
      </c>
      <c r="J14" s="430">
        <v>2166.9299999999998</v>
      </c>
      <c r="K14" s="429">
        <v>2232.6359200000002</v>
      </c>
      <c r="L14" s="524">
        <f t="shared" si="2"/>
        <v>0.17308000000002721</v>
      </c>
      <c r="M14" s="661">
        <f t="shared" si="3"/>
        <v>3160.3968</v>
      </c>
      <c r="N14" s="661">
        <f t="shared" si="4"/>
        <v>100.29800000000046</v>
      </c>
      <c r="O14" s="661">
        <f t="shared" si="5"/>
        <v>3015.1</v>
      </c>
      <c r="P14" s="661">
        <f t="shared" si="6"/>
        <v>3113.7656000000002</v>
      </c>
      <c r="Q14" s="661">
        <f t="shared" si="7"/>
        <v>3160.3968</v>
      </c>
      <c r="R14" s="661">
        <f t="shared" si="8"/>
        <v>3113.7656000000002</v>
      </c>
      <c r="S14" s="661">
        <f t="shared" si="9"/>
        <v>0.98524514390091777</v>
      </c>
      <c r="T14" s="661">
        <v>0.98524489076814659</v>
      </c>
      <c r="U14" s="560">
        <f t="shared" si="10"/>
        <v>2.5313277118854671E-7</v>
      </c>
      <c r="V14" s="560"/>
      <c r="W14" s="560"/>
      <c r="X14" s="560"/>
      <c r="Y14" s="560"/>
      <c r="Z14" s="560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0"/>
      <c r="AM14" s="560"/>
      <c r="AN14" s="555"/>
      <c r="AP14" s="537"/>
      <c r="AR14" s="537"/>
      <c r="AS14" s="537"/>
      <c r="AT14" s="537"/>
      <c r="AU14" s="464"/>
    </row>
    <row r="15" spans="1:47" s="666" customFormat="1" ht="14.25">
      <c r="A15" s="299">
        <v>4</v>
      </c>
      <c r="B15" s="385" t="s">
        <v>892</v>
      </c>
      <c r="C15" s="524">
        <v>398.21640000000014</v>
      </c>
      <c r="D15" s="299">
        <v>20.814999999999941</v>
      </c>
      <c r="E15" s="558">
        <v>507.64</v>
      </c>
      <c r="F15" s="524">
        <v>460.1</v>
      </c>
      <c r="G15" s="558">
        <f t="shared" si="1"/>
        <v>68.354999999999905</v>
      </c>
      <c r="H15" s="658">
        <v>929.17160000000001</v>
      </c>
      <c r="I15" s="559">
        <v>57.390999999999849</v>
      </c>
      <c r="J15" s="423">
        <v>1631.9099999999999</v>
      </c>
      <c r="K15" s="524">
        <v>1380.32</v>
      </c>
      <c r="L15" s="524">
        <f t="shared" si="2"/>
        <v>308.98099999999977</v>
      </c>
      <c r="M15" s="661">
        <f t="shared" si="3"/>
        <v>1327.3880000000001</v>
      </c>
      <c r="N15" s="661">
        <f t="shared" si="4"/>
        <v>78.20599999999979</v>
      </c>
      <c r="O15" s="661">
        <f t="shared" si="5"/>
        <v>2139.5499999999997</v>
      </c>
      <c r="P15" s="661">
        <f t="shared" si="6"/>
        <v>1840.42</v>
      </c>
      <c r="Q15" s="661">
        <f t="shared" si="7"/>
        <v>1327.3880000000001</v>
      </c>
      <c r="R15" s="661">
        <f t="shared" si="8"/>
        <v>1840.42</v>
      </c>
      <c r="S15" s="661">
        <f t="shared" si="9"/>
        <v>1.3864973918703498</v>
      </c>
      <c r="T15" s="661">
        <v>1.3865070348684785</v>
      </c>
      <c r="U15" s="560">
        <f t="shared" si="10"/>
        <v>-9.6429981286672017E-6</v>
      </c>
      <c r="V15" s="560"/>
      <c r="W15" s="560"/>
      <c r="X15" s="560"/>
      <c r="Y15" s="664"/>
      <c r="Z15" s="664"/>
      <c r="AA15" s="664"/>
      <c r="AB15" s="664"/>
      <c r="AC15" s="664"/>
      <c r="AD15" s="664"/>
      <c r="AE15" s="664"/>
      <c r="AF15" s="664"/>
      <c r="AG15" s="664"/>
      <c r="AH15" s="664"/>
      <c r="AI15" s="664"/>
      <c r="AJ15" s="664"/>
      <c r="AK15" s="664"/>
      <c r="AL15" s="664"/>
      <c r="AM15" s="664"/>
      <c r="AN15" s="665"/>
      <c r="AP15" s="667"/>
      <c r="AR15" s="667"/>
      <c r="AS15" s="667"/>
      <c r="AT15" s="667"/>
      <c r="AU15" s="668"/>
    </row>
    <row r="16" spans="1:47" ht="14.25">
      <c r="A16" s="421">
        <v>5</v>
      </c>
      <c r="B16" s="385" t="s">
        <v>893</v>
      </c>
      <c r="C16" s="705">
        <v>1638.9386400000003</v>
      </c>
      <c r="D16" s="434">
        <v>27.830999999999904</v>
      </c>
      <c r="E16" s="439">
        <v>1405.55</v>
      </c>
      <c r="F16" s="429">
        <v>1432.64744</v>
      </c>
      <c r="G16" s="558">
        <f t="shared" si="1"/>
        <v>0.73355999999989763</v>
      </c>
      <c r="H16" s="428">
        <v>3824.1901600000001</v>
      </c>
      <c r="I16" s="28">
        <v>46.621999999999844</v>
      </c>
      <c r="J16" s="430">
        <v>3355.05</v>
      </c>
      <c r="K16" s="429">
        <v>3398.1773600000001</v>
      </c>
      <c r="L16" s="524">
        <f t="shared" si="2"/>
        <v>3.4946399999998903</v>
      </c>
      <c r="M16" s="661">
        <f t="shared" si="3"/>
        <v>5463.1288000000004</v>
      </c>
      <c r="N16" s="661">
        <f t="shared" si="4"/>
        <v>74.452999999999747</v>
      </c>
      <c r="O16" s="661">
        <f t="shared" si="5"/>
        <v>4760.6000000000004</v>
      </c>
      <c r="P16" s="661">
        <f t="shared" si="6"/>
        <v>4830.8248000000003</v>
      </c>
      <c r="Q16" s="661">
        <f t="shared" si="7"/>
        <v>5463.1288000000004</v>
      </c>
      <c r="R16" s="661">
        <f t="shared" si="8"/>
        <v>4830.8248000000003</v>
      </c>
      <c r="S16" s="661">
        <f t="shared" si="9"/>
        <v>0.88425973043139672</v>
      </c>
      <c r="T16" s="661">
        <v>1.0260279307302116</v>
      </c>
      <c r="U16" s="560">
        <f t="shared" si="10"/>
        <v>-0.14176820029881487</v>
      </c>
      <c r="V16" s="560"/>
      <c r="W16" s="560"/>
      <c r="X16" s="560"/>
      <c r="Y16" s="560"/>
      <c r="Z16" s="560"/>
      <c r="AA16" s="560"/>
      <c r="AB16" s="560"/>
      <c r="AC16" s="560"/>
      <c r="AD16" s="560"/>
      <c r="AE16" s="560"/>
      <c r="AF16" s="560"/>
      <c r="AG16" s="560"/>
      <c r="AH16" s="560"/>
      <c r="AI16" s="560"/>
      <c r="AJ16" s="560"/>
      <c r="AK16" s="560"/>
      <c r="AL16" s="560"/>
      <c r="AM16" s="560"/>
      <c r="AN16" s="555"/>
      <c r="AP16" s="537"/>
      <c r="AR16" s="537"/>
      <c r="AS16" s="537"/>
      <c r="AT16" s="537"/>
      <c r="AU16" s="464"/>
    </row>
    <row r="17" spans="1:47" ht="14.25">
      <c r="A17" s="421">
        <v>6</v>
      </c>
      <c r="B17" s="385" t="s">
        <v>894</v>
      </c>
      <c r="C17" s="705">
        <v>680.64623999999981</v>
      </c>
      <c r="D17" s="434">
        <v>31.618000000000052</v>
      </c>
      <c r="E17" s="439">
        <v>624.97</v>
      </c>
      <c r="F17" s="429">
        <v>655.61103999999978</v>
      </c>
      <c r="G17" s="558">
        <f t="shared" si="1"/>
        <v>0.97696000000030381</v>
      </c>
      <c r="H17" s="428">
        <v>1588.1745600000002</v>
      </c>
      <c r="I17" s="28">
        <v>70.680000000000064</v>
      </c>
      <c r="J17" s="430">
        <v>1372.31</v>
      </c>
      <c r="K17" s="429">
        <v>1436.4257600000001</v>
      </c>
      <c r="L17" s="524">
        <f t="shared" si="2"/>
        <v>6.564239999999927</v>
      </c>
      <c r="M17" s="661">
        <f t="shared" si="3"/>
        <v>2268.8208</v>
      </c>
      <c r="N17" s="661">
        <f t="shared" si="4"/>
        <v>102.29800000000012</v>
      </c>
      <c r="O17" s="661">
        <f t="shared" si="5"/>
        <v>1997.28</v>
      </c>
      <c r="P17" s="661">
        <f t="shared" si="6"/>
        <v>2092.0367999999999</v>
      </c>
      <c r="Q17" s="661">
        <f t="shared" si="7"/>
        <v>2268.8208</v>
      </c>
      <c r="R17" s="661">
        <f t="shared" si="8"/>
        <v>2092.0367999999999</v>
      </c>
      <c r="S17" s="661">
        <f t="shared" si="9"/>
        <v>0.92208110927050735</v>
      </c>
      <c r="T17" s="661">
        <v>0.92208110927050735</v>
      </c>
      <c r="U17" s="560">
        <f t="shared" si="10"/>
        <v>0</v>
      </c>
      <c r="V17" s="560"/>
      <c r="W17" s="560"/>
      <c r="X17" s="560"/>
      <c r="Y17" s="560"/>
      <c r="Z17" s="560"/>
      <c r="AA17" s="560"/>
      <c r="AB17" s="560"/>
      <c r="AC17" s="560"/>
      <c r="AD17" s="560"/>
      <c r="AE17" s="560"/>
      <c r="AF17" s="560"/>
      <c r="AG17" s="560"/>
      <c r="AH17" s="560"/>
      <c r="AI17" s="560"/>
      <c r="AJ17" s="560"/>
      <c r="AK17" s="560"/>
      <c r="AL17" s="560"/>
      <c r="AM17" s="560"/>
      <c r="AN17" s="555"/>
      <c r="AP17" s="537"/>
      <c r="AR17" s="537"/>
      <c r="AS17" s="537"/>
      <c r="AT17" s="537"/>
      <c r="AU17" s="464"/>
    </row>
    <row r="18" spans="1:47" ht="14.25">
      <c r="A18" s="421">
        <v>7</v>
      </c>
      <c r="B18" s="385" t="s">
        <v>895</v>
      </c>
      <c r="C18" s="705">
        <v>955.26864</v>
      </c>
      <c r="D18" s="434">
        <v>20.632999999999925</v>
      </c>
      <c r="E18" s="439">
        <v>924.59</v>
      </c>
      <c r="F18" s="429">
        <v>939.61896000000002</v>
      </c>
      <c r="G18" s="558">
        <f t="shared" si="1"/>
        <v>5.6040399999999408</v>
      </c>
      <c r="H18" s="428">
        <v>2228.9601600000001</v>
      </c>
      <c r="I18" s="28">
        <v>64.461999999999762</v>
      </c>
      <c r="J18" s="430">
        <v>2215.92</v>
      </c>
      <c r="K18" s="429">
        <v>2278.4442399999998</v>
      </c>
      <c r="L18" s="524">
        <f t="shared" si="2"/>
        <v>1.9377599999997983</v>
      </c>
      <c r="M18" s="661">
        <f t="shared" si="3"/>
        <v>3184.2287999999999</v>
      </c>
      <c r="N18" s="661">
        <f t="shared" si="4"/>
        <v>85.094999999999686</v>
      </c>
      <c r="O18" s="661">
        <f t="shared" si="5"/>
        <v>3140.51</v>
      </c>
      <c r="P18" s="661">
        <f t="shared" si="6"/>
        <v>3218.0631999999996</v>
      </c>
      <c r="Q18" s="661">
        <f t="shared" si="7"/>
        <v>3184.2287999999999</v>
      </c>
      <c r="R18" s="661">
        <f t="shared" si="8"/>
        <v>3218.0631999999996</v>
      </c>
      <c r="S18" s="661">
        <f t="shared" si="9"/>
        <v>1.0106256183600877</v>
      </c>
      <c r="T18" s="661">
        <v>1.0988323272652376</v>
      </c>
      <c r="U18" s="560">
        <f t="shared" si="10"/>
        <v>-8.8206708905149922E-2</v>
      </c>
      <c r="V18" s="560"/>
      <c r="W18" s="560"/>
      <c r="X18" s="560"/>
      <c r="Y18" s="560"/>
      <c r="Z18" s="560"/>
      <c r="AA18" s="560"/>
      <c r="AB18" s="560"/>
      <c r="AC18" s="560"/>
      <c r="AD18" s="560"/>
      <c r="AE18" s="560"/>
      <c r="AF18" s="560"/>
      <c r="AG18" s="560"/>
      <c r="AH18" s="560"/>
      <c r="AI18" s="560"/>
      <c r="AJ18" s="560"/>
      <c r="AK18" s="560"/>
      <c r="AL18" s="560"/>
      <c r="AM18" s="560"/>
      <c r="AN18" s="555"/>
      <c r="AP18" s="537"/>
      <c r="AR18" s="537"/>
      <c r="AS18" s="537"/>
      <c r="AT18" s="537"/>
      <c r="AU18" s="464"/>
    </row>
    <row r="19" spans="1:47" ht="14.25">
      <c r="A19" s="421">
        <v>8</v>
      </c>
      <c r="B19" s="385" t="s">
        <v>896</v>
      </c>
      <c r="C19" s="705">
        <v>666.33431999999993</v>
      </c>
      <c r="D19" s="434">
        <v>19.114999999999895</v>
      </c>
      <c r="E19" s="439">
        <v>676.31</v>
      </c>
      <c r="F19" s="429">
        <v>689.71903999999995</v>
      </c>
      <c r="G19" s="558">
        <f t="shared" si="1"/>
        <v>5.7059599999998909</v>
      </c>
      <c r="H19" s="428">
        <v>1554.78008</v>
      </c>
      <c r="I19" s="28">
        <v>18.867999999999938</v>
      </c>
      <c r="J19" s="430">
        <v>1524.1699999999998</v>
      </c>
      <c r="K19" s="429">
        <v>1542.67776</v>
      </c>
      <c r="L19" s="524">
        <f t="shared" si="2"/>
        <v>0.36023999999974876</v>
      </c>
      <c r="M19" s="661">
        <f t="shared" si="3"/>
        <v>2221.1143999999999</v>
      </c>
      <c r="N19" s="661">
        <f t="shared" si="4"/>
        <v>37.982999999999834</v>
      </c>
      <c r="O19" s="661">
        <f t="shared" si="5"/>
        <v>2200.4799999999996</v>
      </c>
      <c r="P19" s="661">
        <f t="shared" si="6"/>
        <v>2232.3968</v>
      </c>
      <c r="Q19" s="661">
        <f t="shared" si="7"/>
        <v>2221.1143999999999</v>
      </c>
      <c r="R19" s="661">
        <f t="shared" si="8"/>
        <v>2232.3968</v>
      </c>
      <c r="S19" s="661">
        <f t="shared" si="9"/>
        <v>1.0050796122883181</v>
      </c>
      <c r="T19" s="661">
        <v>1.0223870289108237</v>
      </c>
      <c r="U19" s="560">
        <f t="shared" si="10"/>
        <v>-1.7307416622505567E-2</v>
      </c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0"/>
      <c r="AJ19" s="560"/>
      <c r="AK19" s="560"/>
      <c r="AL19" s="560"/>
      <c r="AM19" s="560"/>
      <c r="AN19" s="555"/>
      <c r="AP19" s="537"/>
      <c r="AR19" s="537"/>
      <c r="AS19" s="537"/>
      <c r="AT19" s="537"/>
      <c r="AU19" s="464"/>
    </row>
    <row r="20" spans="1:47" ht="14.25">
      <c r="A20" s="421">
        <v>9</v>
      </c>
      <c r="B20" s="385" t="s">
        <v>897</v>
      </c>
      <c r="C20" s="705">
        <v>352.18296000000009</v>
      </c>
      <c r="D20" s="434">
        <v>44.321999999999946</v>
      </c>
      <c r="E20" s="439">
        <v>380.29200000000003</v>
      </c>
      <c r="F20" s="429">
        <v>424.27463999999998</v>
      </c>
      <c r="G20" s="558">
        <f t="shared" si="1"/>
        <v>0.33935999999999922</v>
      </c>
      <c r="H20" s="428">
        <v>821.76024000000007</v>
      </c>
      <c r="I20" s="28">
        <v>66.414999999999964</v>
      </c>
      <c r="J20" s="430">
        <v>941.16000000000008</v>
      </c>
      <c r="K20" s="429">
        <v>999.97415999999998</v>
      </c>
      <c r="L20" s="524">
        <f t="shared" si="2"/>
        <v>7.600840000000062</v>
      </c>
      <c r="M20" s="661">
        <f t="shared" si="3"/>
        <v>1173.9432000000002</v>
      </c>
      <c r="N20" s="661">
        <f t="shared" si="4"/>
        <v>110.73699999999991</v>
      </c>
      <c r="O20" s="661">
        <f t="shared" si="5"/>
        <v>1321.4520000000002</v>
      </c>
      <c r="P20" s="661">
        <f t="shared" si="6"/>
        <v>1424.2487999999998</v>
      </c>
      <c r="Q20" s="661">
        <f t="shared" si="7"/>
        <v>1173.9432000000002</v>
      </c>
      <c r="R20" s="661">
        <f t="shared" si="8"/>
        <v>1424.2487999999998</v>
      </c>
      <c r="S20" s="661">
        <f t="shared" si="9"/>
        <v>1.2132178115602184</v>
      </c>
      <c r="T20" s="661">
        <v>1.2132171300962431</v>
      </c>
      <c r="U20" s="560">
        <f t="shared" si="10"/>
        <v>6.8146397524948554E-7</v>
      </c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  <c r="AI20" s="560"/>
      <c r="AJ20" s="560"/>
      <c r="AK20" s="560"/>
      <c r="AL20" s="560"/>
      <c r="AM20" s="560"/>
      <c r="AN20" s="555"/>
      <c r="AP20" s="537"/>
      <c r="AR20" s="537"/>
      <c r="AS20" s="537"/>
      <c r="AT20" s="537"/>
      <c r="AU20" s="464"/>
    </row>
    <row r="21" spans="1:47" ht="14.25">
      <c r="A21" s="421">
        <v>10</v>
      </c>
      <c r="B21" s="385" t="s">
        <v>898</v>
      </c>
      <c r="C21" s="705">
        <v>532.11984000000007</v>
      </c>
      <c r="D21" s="434">
        <v>17.081999999999994</v>
      </c>
      <c r="E21" s="439">
        <v>445.91</v>
      </c>
      <c r="F21" s="429">
        <v>462.22752000000014</v>
      </c>
      <c r="G21" s="558">
        <f t="shared" si="1"/>
        <v>0.76447999999987815</v>
      </c>
      <c r="H21" s="428">
        <v>1241.6129599999999</v>
      </c>
      <c r="I21" s="28">
        <v>40.086000000000013</v>
      </c>
      <c r="J21" s="430">
        <v>1054.93</v>
      </c>
      <c r="K21" s="429">
        <v>1088.53088</v>
      </c>
      <c r="L21" s="524">
        <f t="shared" si="2"/>
        <v>6.4851200000000517</v>
      </c>
      <c r="M21" s="661">
        <f t="shared" si="3"/>
        <v>1773.7328</v>
      </c>
      <c r="N21" s="661">
        <f t="shared" si="4"/>
        <v>57.168000000000006</v>
      </c>
      <c r="O21" s="661">
        <f t="shared" si="5"/>
        <v>1500.8400000000001</v>
      </c>
      <c r="P21" s="661">
        <f t="shared" si="6"/>
        <v>1550.7584000000002</v>
      </c>
      <c r="Q21" s="661">
        <f t="shared" si="7"/>
        <v>1773.7328</v>
      </c>
      <c r="R21" s="661">
        <f t="shared" si="8"/>
        <v>1550.7584000000002</v>
      </c>
      <c r="S21" s="661">
        <f t="shared" si="9"/>
        <v>0.87429087402567074</v>
      </c>
      <c r="T21" s="661">
        <v>0.8742904229994507</v>
      </c>
      <c r="U21" s="560">
        <f t="shared" si="10"/>
        <v>4.5102622003856396E-7</v>
      </c>
      <c r="V21" s="560"/>
      <c r="W21" s="560"/>
      <c r="X21" s="560"/>
      <c r="Y21" s="560"/>
      <c r="Z21" s="560"/>
      <c r="AA21" s="560"/>
      <c r="AB21" s="560"/>
      <c r="AC21" s="560"/>
      <c r="AD21" s="560"/>
      <c r="AE21" s="560"/>
      <c r="AF21" s="560"/>
      <c r="AG21" s="560"/>
      <c r="AH21" s="560"/>
      <c r="AI21" s="560"/>
      <c r="AJ21" s="560"/>
      <c r="AK21" s="560"/>
      <c r="AL21" s="560"/>
      <c r="AM21" s="560"/>
      <c r="AN21" s="555"/>
      <c r="AP21" s="537"/>
      <c r="AR21" s="537"/>
      <c r="AS21" s="537"/>
      <c r="AT21" s="537"/>
      <c r="AU21" s="464"/>
    </row>
    <row r="22" spans="1:47" ht="14.25">
      <c r="A22" s="421">
        <v>11</v>
      </c>
      <c r="B22" s="385" t="s">
        <v>899</v>
      </c>
      <c r="C22" s="705">
        <v>565.25280000000009</v>
      </c>
      <c r="D22" s="434">
        <v>14.652000000000044</v>
      </c>
      <c r="E22" s="439">
        <v>592.81900000000007</v>
      </c>
      <c r="F22" s="429">
        <v>604.28808000000004</v>
      </c>
      <c r="G22" s="558">
        <f t="shared" si="1"/>
        <v>3.182920000000081</v>
      </c>
      <c r="H22" s="428">
        <v>1318.9232000000002</v>
      </c>
      <c r="I22" s="28">
        <v>15.595000000000027</v>
      </c>
      <c r="J22" s="430">
        <v>1400.5800000000002</v>
      </c>
      <c r="K22" s="429">
        <v>1410.0055199999999</v>
      </c>
      <c r="L22" s="524">
        <f t="shared" si="2"/>
        <v>6.1694800000002488</v>
      </c>
      <c r="M22" s="661">
        <f t="shared" si="3"/>
        <v>1884.1760000000004</v>
      </c>
      <c r="N22" s="661">
        <f t="shared" si="4"/>
        <v>30.247000000000071</v>
      </c>
      <c r="O22" s="661">
        <f t="shared" si="5"/>
        <v>1993.3990000000003</v>
      </c>
      <c r="P22" s="661">
        <f t="shared" si="6"/>
        <v>2014.2936</v>
      </c>
      <c r="Q22" s="661">
        <f t="shared" si="7"/>
        <v>1884.1760000000004</v>
      </c>
      <c r="R22" s="661">
        <f t="shared" si="8"/>
        <v>2014.2936</v>
      </c>
      <c r="S22" s="661">
        <f t="shared" si="9"/>
        <v>1.0690580922376676</v>
      </c>
      <c r="T22" s="661">
        <v>1.1177008238928938</v>
      </c>
      <c r="U22" s="560">
        <f t="shared" si="10"/>
        <v>-4.8642731655226257E-2</v>
      </c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0"/>
      <c r="AN22" s="555"/>
      <c r="AP22" s="537"/>
      <c r="AR22" s="537"/>
      <c r="AS22" s="537"/>
      <c r="AT22" s="537"/>
      <c r="AU22" s="464"/>
    </row>
    <row r="23" spans="1:47" ht="14.25">
      <c r="A23" s="421">
        <v>12</v>
      </c>
      <c r="B23" s="385" t="s">
        <v>900</v>
      </c>
      <c r="C23" s="705">
        <v>430.62216000000012</v>
      </c>
      <c r="D23" s="434">
        <v>35.878000000000043</v>
      </c>
      <c r="E23" s="439">
        <v>434.88</v>
      </c>
      <c r="F23" s="429">
        <v>464.08863999999994</v>
      </c>
      <c r="G23" s="558">
        <f t="shared" si="1"/>
        <v>6.669360000000097</v>
      </c>
      <c r="H23" s="428">
        <v>1004.78504</v>
      </c>
      <c r="I23" s="28">
        <v>24.144999999999982</v>
      </c>
      <c r="J23" s="430">
        <v>1168.3420000000001</v>
      </c>
      <c r="K23" s="429">
        <v>1189.54016</v>
      </c>
      <c r="L23" s="524">
        <f t="shared" si="2"/>
        <v>2.9468400000000656</v>
      </c>
      <c r="M23" s="661">
        <f t="shared" si="3"/>
        <v>1435.4072000000001</v>
      </c>
      <c r="N23" s="661">
        <f t="shared" si="4"/>
        <v>60.023000000000025</v>
      </c>
      <c r="O23" s="661">
        <f t="shared" si="5"/>
        <v>1603.2220000000002</v>
      </c>
      <c r="P23" s="661">
        <f t="shared" si="6"/>
        <v>1653.6288</v>
      </c>
      <c r="Q23" s="661">
        <f t="shared" si="7"/>
        <v>1435.4072000000001</v>
      </c>
      <c r="R23" s="661">
        <f t="shared" si="8"/>
        <v>1653.6288</v>
      </c>
      <c r="S23" s="661">
        <f t="shared" si="9"/>
        <v>1.1520276615583367</v>
      </c>
      <c r="T23" s="661">
        <v>1.1520259895589209</v>
      </c>
      <c r="U23" s="560">
        <f t="shared" si="10"/>
        <v>1.6719994158087559E-6</v>
      </c>
      <c r="V23" s="560"/>
      <c r="W23" s="560"/>
      <c r="X23" s="560"/>
      <c r="Y23" s="560"/>
      <c r="Z23" s="560"/>
      <c r="AA23" s="560"/>
      <c r="AB23" s="560"/>
      <c r="AC23" s="560"/>
      <c r="AD23" s="560"/>
      <c r="AE23" s="560"/>
      <c r="AF23" s="560"/>
      <c r="AG23" s="560"/>
      <c r="AH23" s="560"/>
      <c r="AI23" s="560"/>
      <c r="AJ23" s="560"/>
      <c r="AK23" s="560"/>
      <c r="AL23" s="560"/>
      <c r="AM23" s="560"/>
      <c r="AN23" s="555"/>
      <c r="AP23" s="537"/>
      <c r="AR23" s="537"/>
      <c r="AS23" s="537"/>
      <c r="AT23" s="537"/>
      <c r="AU23" s="464"/>
    </row>
    <row r="24" spans="1:47" ht="14.25">
      <c r="A24" s="421">
        <v>13</v>
      </c>
      <c r="B24" s="385" t="s">
        <v>901</v>
      </c>
      <c r="C24" s="705">
        <v>495.5032799999999</v>
      </c>
      <c r="D24" s="434">
        <v>35.432000000000016</v>
      </c>
      <c r="E24" s="439">
        <v>480.14800000000002</v>
      </c>
      <c r="F24" s="429">
        <v>511.40167999999994</v>
      </c>
      <c r="G24" s="558">
        <f t="shared" si="1"/>
        <v>4.1783200000000988</v>
      </c>
      <c r="H24" s="428">
        <v>1156.1743200000001</v>
      </c>
      <c r="I24" s="28">
        <v>22.25</v>
      </c>
      <c r="J24" s="430">
        <v>926.77</v>
      </c>
      <c r="K24" s="429">
        <v>946.60392000000002</v>
      </c>
      <c r="L24" s="524">
        <f t="shared" si="2"/>
        <v>2.4160799999999654</v>
      </c>
      <c r="M24" s="661">
        <f t="shared" si="3"/>
        <v>1651.6776</v>
      </c>
      <c r="N24" s="661">
        <f t="shared" si="4"/>
        <v>57.682000000000016</v>
      </c>
      <c r="O24" s="661">
        <f t="shared" si="5"/>
        <v>1406.9180000000001</v>
      </c>
      <c r="P24" s="661">
        <f t="shared" si="6"/>
        <v>1458.0056</v>
      </c>
      <c r="Q24" s="661">
        <f t="shared" si="7"/>
        <v>1651.6776</v>
      </c>
      <c r="R24" s="661">
        <f t="shared" si="8"/>
        <v>1458.0056</v>
      </c>
      <c r="S24" s="661">
        <f t="shared" si="9"/>
        <v>0.88274224945594704</v>
      </c>
      <c r="T24" s="661">
        <v>0.88274128074389335</v>
      </c>
      <c r="U24" s="560">
        <f t="shared" si="10"/>
        <v>9.6871205368387336E-7</v>
      </c>
      <c r="V24" s="560"/>
      <c r="W24" s="560"/>
      <c r="X24" s="560"/>
      <c r="Y24" s="560"/>
      <c r="Z24" s="560"/>
      <c r="AA24" s="560"/>
      <c r="AB24" s="560"/>
      <c r="AC24" s="560"/>
      <c r="AD24" s="560"/>
      <c r="AE24" s="560"/>
      <c r="AF24" s="560"/>
      <c r="AG24" s="560"/>
      <c r="AH24" s="560"/>
      <c r="AI24" s="560"/>
      <c r="AJ24" s="560"/>
      <c r="AK24" s="560"/>
      <c r="AL24" s="560"/>
      <c r="AM24" s="560"/>
      <c r="AN24" s="555"/>
      <c r="AP24" s="537"/>
      <c r="AR24" s="537"/>
      <c r="AS24" s="537"/>
      <c r="AT24" s="537"/>
      <c r="AU24" s="464"/>
    </row>
    <row r="25" spans="1:47" ht="14.25">
      <c r="A25" s="421">
        <v>14</v>
      </c>
      <c r="B25" s="385" t="s">
        <v>902</v>
      </c>
      <c r="C25" s="705">
        <v>710.42520000000013</v>
      </c>
      <c r="D25" s="434">
        <v>25.982000000000085</v>
      </c>
      <c r="E25" s="439">
        <v>696.35</v>
      </c>
      <c r="F25" s="429">
        <v>717.13119999999981</v>
      </c>
      <c r="G25" s="558">
        <f t="shared" si="1"/>
        <v>5.2008000000002994</v>
      </c>
      <c r="H25" s="428">
        <v>1657.6588000000002</v>
      </c>
      <c r="I25" s="28">
        <v>39.964999999999918</v>
      </c>
      <c r="J25" s="430">
        <v>1825.1200000000001</v>
      </c>
      <c r="K25" s="429">
        <v>1839.9728</v>
      </c>
      <c r="L25" s="524">
        <f t="shared" si="2"/>
        <v>25.11220000000003</v>
      </c>
      <c r="M25" s="661">
        <f t="shared" si="3"/>
        <v>2368.0840000000003</v>
      </c>
      <c r="N25" s="661">
        <f t="shared" si="4"/>
        <v>65.947000000000003</v>
      </c>
      <c r="O25" s="661">
        <f t="shared" si="5"/>
        <v>2521.4700000000003</v>
      </c>
      <c r="P25" s="661">
        <f t="shared" si="6"/>
        <v>2557.1039999999998</v>
      </c>
      <c r="Q25" s="661">
        <f t="shared" si="7"/>
        <v>2368.0840000000003</v>
      </c>
      <c r="R25" s="661">
        <f t="shared" si="8"/>
        <v>2557.1039999999998</v>
      </c>
      <c r="S25" s="661">
        <f t="shared" si="9"/>
        <v>1.079819803689396</v>
      </c>
      <c r="T25" s="661">
        <v>1.0995062097860242</v>
      </c>
      <c r="U25" s="560">
        <f t="shared" si="10"/>
        <v>-1.9686406096628195E-2</v>
      </c>
      <c r="V25" s="560"/>
      <c r="W25" s="560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  <c r="AH25" s="560"/>
      <c r="AI25" s="560"/>
      <c r="AJ25" s="560"/>
      <c r="AK25" s="560"/>
      <c r="AL25" s="560"/>
      <c r="AM25" s="560"/>
      <c r="AN25" s="555"/>
      <c r="AP25" s="537"/>
      <c r="AR25" s="537"/>
      <c r="AS25" s="537"/>
      <c r="AT25" s="537"/>
      <c r="AU25" s="464"/>
    </row>
    <row r="26" spans="1:47" s="422" customFormat="1" ht="14.25">
      <c r="A26" s="421">
        <v>15</v>
      </c>
      <c r="B26" s="385" t="s">
        <v>903</v>
      </c>
      <c r="C26" s="524">
        <v>452.54639999999995</v>
      </c>
      <c r="D26" s="299">
        <v>15.416999999999973</v>
      </c>
      <c r="E26" s="558">
        <v>357.62</v>
      </c>
      <c r="F26" s="429">
        <v>365.76799999999997</v>
      </c>
      <c r="G26" s="558">
        <f t="shared" si="1"/>
        <v>7.2690000000000055</v>
      </c>
      <c r="H26" s="428">
        <v>1055.9416000000001</v>
      </c>
      <c r="I26" s="28">
        <v>29.461000000000013</v>
      </c>
      <c r="J26" s="430">
        <v>1171.04</v>
      </c>
      <c r="K26" s="429">
        <v>1186.7919999999999</v>
      </c>
      <c r="L26" s="524">
        <f t="shared" si="2"/>
        <v>13.70900000000006</v>
      </c>
      <c r="M26" s="661">
        <f t="shared" si="3"/>
        <v>1508.4880000000001</v>
      </c>
      <c r="N26" s="661">
        <f t="shared" si="4"/>
        <v>44.877999999999986</v>
      </c>
      <c r="O26" s="661">
        <f t="shared" si="5"/>
        <v>1528.6599999999999</v>
      </c>
      <c r="P26" s="661">
        <f t="shared" si="6"/>
        <v>1552.56</v>
      </c>
      <c r="Q26" s="661">
        <f t="shared" si="7"/>
        <v>1508.4880000000001</v>
      </c>
      <c r="R26" s="661">
        <f t="shared" si="8"/>
        <v>1552.56</v>
      </c>
      <c r="S26" s="661">
        <f t="shared" si="9"/>
        <v>1.0292160096732621</v>
      </c>
      <c r="T26" s="661">
        <v>1.0360891778913144</v>
      </c>
      <c r="U26" s="560">
        <f t="shared" si="10"/>
        <v>-6.8731682180522835E-3</v>
      </c>
      <c r="V26" s="560"/>
      <c r="W26" s="560"/>
      <c r="X26" s="560"/>
      <c r="Y26" s="560"/>
      <c r="Z26" s="560"/>
      <c r="AA26" s="560"/>
      <c r="AB26" s="560"/>
      <c r="AC26" s="560"/>
      <c r="AD26" s="560"/>
      <c r="AE26" s="560"/>
      <c r="AF26" s="560"/>
      <c r="AG26" s="560"/>
      <c r="AH26" s="560"/>
      <c r="AI26" s="560"/>
      <c r="AJ26" s="560"/>
      <c r="AK26" s="560"/>
      <c r="AL26" s="560"/>
      <c r="AM26" s="560"/>
      <c r="AN26" s="555"/>
      <c r="AP26" s="537"/>
      <c r="AR26" s="537"/>
      <c r="AS26" s="537"/>
      <c r="AT26" s="537"/>
      <c r="AU26" s="464"/>
    </row>
    <row r="27" spans="1:47" s="422" customFormat="1" ht="14.25">
      <c r="A27" s="421">
        <v>16</v>
      </c>
      <c r="B27" s="385" t="s">
        <v>904</v>
      </c>
      <c r="C27" s="524">
        <v>426.35232000000013</v>
      </c>
      <c r="D27" s="299">
        <v>51.425000000000011</v>
      </c>
      <c r="E27" s="558">
        <v>420.02</v>
      </c>
      <c r="F27" s="429">
        <v>470.88567999999998</v>
      </c>
      <c r="G27" s="558">
        <f t="shared" si="1"/>
        <v>0.55932000000001381</v>
      </c>
      <c r="H27" s="428">
        <v>994.82207999999991</v>
      </c>
      <c r="I27" s="28">
        <v>15.519000000000005</v>
      </c>
      <c r="J27" s="430">
        <v>1012.378</v>
      </c>
      <c r="K27" s="429">
        <v>1026.3999200000001</v>
      </c>
      <c r="L27" s="524">
        <f t="shared" si="2"/>
        <v>1.497079999999869</v>
      </c>
      <c r="M27" s="661">
        <f t="shared" si="3"/>
        <v>1421.1744000000001</v>
      </c>
      <c r="N27" s="661">
        <f t="shared" si="4"/>
        <v>66.944000000000017</v>
      </c>
      <c r="O27" s="661">
        <f t="shared" si="5"/>
        <v>1432.3980000000001</v>
      </c>
      <c r="P27" s="661">
        <f t="shared" si="6"/>
        <v>1497.2856000000002</v>
      </c>
      <c r="Q27" s="661">
        <f t="shared" si="7"/>
        <v>1421.1744000000001</v>
      </c>
      <c r="R27" s="661">
        <f t="shared" si="8"/>
        <v>1497.2856000000002</v>
      </c>
      <c r="S27" s="661">
        <f t="shared" si="9"/>
        <v>1.0535551442525282</v>
      </c>
      <c r="T27" s="661">
        <v>1.097734385630698</v>
      </c>
      <c r="U27" s="560">
        <f t="shared" si="10"/>
        <v>-4.4179241378169865E-2</v>
      </c>
      <c r="V27" s="560"/>
      <c r="W27" s="560"/>
      <c r="X27" s="560"/>
      <c r="Y27" s="560"/>
      <c r="Z27" s="560"/>
      <c r="AA27" s="560"/>
      <c r="AB27" s="560"/>
      <c r="AC27" s="560"/>
      <c r="AD27" s="560"/>
      <c r="AE27" s="560"/>
      <c r="AF27" s="560"/>
      <c r="AG27" s="560"/>
      <c r="AH27" s="560"/>
      <c r="AI27" s="560"/>
      <c r="AJ27" s="560"/>
      <c r="AK27" s="560"/>
      <c r="AL27" s="560"/>
      <c r="AM27" s="560"/>
      <c r="AN27" s="555"/>
      <c r="AP27" s="537"/>
      <c r="AR27" s="537"/>
      <c r="AS27" s="537"/>
      <c r="AT27" s="537"/>
      <c r="AU27" s="464"/>
    </row>
    <row r="28" spans="1:47" s="422" customFormat="1" ht="14.25">
      <c r="A28" s="421">
        <v>17</v>
      </c>
      <c r="B28" s="385" t="s">
        <v>905</v>
      </c>
      <c r="C28" s="705">
        <v>1106.3956800000003</v>
      </c>
      <c r="D28" s="434">
        <v>36.792000000000144</v>
      </c>
      <c r="E28" s="439">
        <v>1000.721</v>
      </c>
      <c r="F28" s="429">
        <v>1036.6408000000001</v>
      </c>
      <c r="G28" s="558">
        <f t="shared" si="1"/>
        <v>0.87220000000002074</v>
      </c>
      <c r="H28" s="428">
        <v>2581.5899199999999</v>
      </c>
      <c r="I28" s="28">
        <v>43.637000000000171</v>
      </c>
      <c r="J28" s="430">
        <v>2393.87</v>
      </c>
      <c r="K28" s="429">
        <v>2425.4951999999998</v>
      </c>
      <c r="L28" s="524">
        <f t="shared" si="2"/>
        <v>12.011800000000221</v>
      </c>
      <c r="M28" s="661">
        <f t="shared" si="3"/>
        <v>3687.9856</v>
      </c>
      <c r="N28" s="661">
        <f t="shared" si="4"/>
        <v>80.429000000000315</v>
      </c>
      <c r="O28" s="661">
        <f t="shared" si="5"/>
        <v>3394.5909999999999</v>
      </c>
      <c r="P28" s="661">
        <f t="shared" si="6"/>
        <v>3462.136</v>
      </c>
      <c r="Q28" s="661">
        <f t="shared" si="7"/>
        <v>3687.9856</v>
      </c>
      <c r="R28" s="661">
        <f t="shared" si="8"/>
        <v>3462.136</v>
      </c>
      <c r="S28" s="661">
        <f t="shared" si="9"/>
        <v>0.93876071533468031</v>
      </c>
      <c r="T28" s="661">
        <v>0.9737175220869384</v>
      </c>
      <c r="U28" s="560">
        <f t="shared" si="10"/>
        <v>-3.4956806752258096E-2</v>
      </c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55"/>
      <c r="AP28" s="537"/>
      <c r="AR28" s="537"/>
      <c r="AS28" s="537"/>
      <c r="AT28" s="537"/>
      <c r="AU28" s="464"/>
    </row>
    <row r="29" spans="1:47" s="422" customFormat="1" ht="14.25">
      <c r="A29" s="421">
        <v>18</v>
      </c>
      <c r="B29" s="385" t="s">
        <v>906</v>
      </c>
      <c r="C29" s="705">
        <v>433.55520000000001</v>
      </c>
      <c r="D29" s="434">
        <v>52.740000000000009</v>
      </c>
      <c r="E29" s="439">
        <v>435.41499999999996</v>
      </c>
      <c r="F29" s="429">
        <v>469.84655999999995</v>
      </c>
      <c r="G29" s="558">
        <f t="shared" si="1"/>
        <v>18.308440000000019</v>
      </c>
      <c r="H29" s="428">
        <v>1011.6288</v>
      </c>
      <c r="I29" s="28">
        <v>17.010000000000105</v>
      </c>
      <c r="J29" s="430">
        <v>879.39200000000005</v>
      </c>
      <c r="K29" s="429">
        <v>896.30863999999997</v>
      </c>
      <c r="L29" s="524">
        <f t="shared" si="2"/>
        <v>9.3360000000188847E-2</v>
      </c>
      <c r="M29" s="661">
        <f t="shared" si="3"/>
        <v>1445.184</v>
      </c>
      <c r="N29" s="661">
        <f t="shared" si="4"/>
        <v>69.750000000000114</v>
      </c>
      <c r="O29" s="661">
        <f t="shared" si="5"/>
        <v>1314.807</v>
      </c>
      <c r="P29" s="661">
        <f t="shared" si="6"/>
        <v>1366.1551999999999</v>
      </c>
      <c r="Q29" s="661">
        <f t="shared" si="7"/>
        <v>1445.184</v>
      </c>
      <c r="R29" s="661">
        <f t="shared" si="8"/>
        <v>1366.1551999999999</v>
      </c>
      <c r="S29" s="661">
        <f t="shared" si="9"/>
        <v>0.94531575218103714</v>
      </c>
      <c r="T29" s="661">
        <v>1.1632951402607665</v>
      </c>
      <c r="U29" s="560">
        <f t="shared" si="10"/>
        <v>-0.21797938807972939</v>
      </c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55"/>
      <c r="AP29" s="537"/>
      <c r="AR29" s="537"/>
      <c r="AS29" s="537"/>
      <c r="AT29" s="537"/>
      <c r="AU29" s="464"/>
    </row>
    <row r="30" spans="1:47" s="422" customFormat="1" ht="14.25">
      <c r="A30" s="421">
        <v>19</v>
      </c>
      <c r="B30" s="385" t="s">
        <v>907</v>
      </c>
      <c r="C30" s="705">
        <v>697.14840000000004</v>
      </c>
      <c r="D30" s="434">
        <v>28.965000000000032</v>
      </c>
      <c r="E30" s="439">
        <v>569.54999999999995</v>
      </c>
      <c r="F30" s="429">
        <v>598.00775999999996</v>
      </c>
      <c r="G30" s="558">
        <f t="shared" si="1"/>
        <v>0.50724000000002434</v>
      </c>
      <c r="H30" s="428">
        <v>1626.6795999999999</v>
      </c>
      <c r="I30" s="28">
        <v>63.357999999999947</v>
      </c>
      <c r="J30" s="430">
        <v>1450.57</v>
      </c>
      <c r="K30" s="429">
        <v>1495.3514399999999</v>
      </c>
      <c r="L30" s="524">
        <f t="shared" si="2"/>
        <v>18.576559999999972</v>
      </c>
      <c r="M30" s="661">
        <f t="shared" si="3"/>
        <v>2323.828</v>
      </c>
      <c r="N30" s="661">
        <f t="shared" si="4"/>
        <v>92.322999999999979</v>
      </c>
      <c r="O30" s="661">
        <f t="shared" si="5"/>
        <v>2020.12</v>
      </c>
      <c r="P30" s="661">
        <f t="shared" si="6"/>
        <v>2093.3591999999999</v>
      </c>
      <c r="Q30" s="661">
        <f t="shared" si="7"/>
        <v>2323.828</v>
      </c>
      <c r="R30" s="661">
        <f t="shared" si="8"/>
        <v>2093.3591999999999</v>
      </c>
      <c r="S30" s="661">
        <f t="shared" si="9"/>
        <v>0.90082364099236256</v>
      </c>
      <c r="T30" s="661">
        <v>0.90082364099236256</v>
      </c>
      <c r="U30" s="560">
        <f t="shared" si="10"/>
        <v>0</v>
      </c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560"/>
      <c r="AJ30" s="560"/>
      <c r="AK30" s="560"/>
      <c r="AL30" s="560"/>
      <c r="AM30" s="560"/>
      <c r="AN30" s="555"/>
      <c r="AP30" s="537"/>
      <c r="AR30" s="537"/>
      <c r="AS30" s="537"/>
      <c r="AT30" s="537"/>
      <c r="AU30" s="464"/>
    </row>
    <row r="31" spans="1:47" s="422" customFormat="1" ht="14.25">
      <c r="A31" s="421">
        <v>20</v>
      </c>
      <c r="B31" s="385" t="s">
        <v>908</v>
      </c>
      <c r="C31" s="705">
        <v>535.7668799999999</v>
      </c>
      <c r="D31" s="434">
        <v>30.871999999999957</v>
      </c>
      <c r="E31" s="439">
        <v>468.37</v>
      </c>
      <c r="F31" s="429">
        <v>493.62167999999997</v>
      </c>
      <c r="G31" s="558">
        <f t="shared" si="1"/>
        <v>5.6203199999999924</v>
      </c>
      <c r="H31" s="428">
        <v>1250.1227200000001</v>
      </c>
      <c r="I31" s="28">
        <v>64.472000000000207</v>
      </c>
      <c r="J31" s="430">
        <v>1203.1500000000001</v>
      </c>
      <c r="K31" s="429">
        <v>1261.7839200000001</v>
      </c>
      <c r="L31" s="524">
        <f t="shared" si="2"/>
        <v>5.8380800000002182</v>
      </c>
      <c r="M31" s="661">
        <f t="shared" si="3"/>
        <v>1785.8896</v>
      </c>
      <c r="N31" s="661">
        <f t="shared" si="4"/>
        <v>95.344000000000165</v>
      </c>
      <c r="O31" s="661">
        <f t="shared" si="5"/>
        <v>1671.52</v>
      </c>
      <c r="P31" s="661">
        <f t="shared" si="6"/>
        <v>1755.4056</v>
      </c>
      <c r="Q31" s="661">
        <f t="shared" si="7"/>
        <v>1785.8896</v>
      </c>
      <c r="R31" s="661">
        <f t="shared" si="8"/>
        <v>1755.4056</v>
      </c>
      <c r="S31" s="661">
        <f t="shared" si="9"/>
        <v>0.98293063580189954</v>
      </c>
      <c r="T31" s="661">
        <v>0.98293018784587805</v>
      </c>
      <c r="U31" s="560">
        <f t="shared" si="10"/>
        <v>4.4795602149871883E-7</v>
      </c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0"/>
      <c r="AJ31" s="560"/>
      <c r="AK31" s="560"/>
      <c r="AL31" s="560"/>
      <c r="AM31" s="560"/>
      <c r="AN31" s="555"/>
      <c r="AP31" s="537"/>
      <c r="AR31" s="537"/>
      <c r="AS31" s="537"/>
      <c r="AT31" s="537"/>
      <c r="AU31" s="464"/>
    </row>
    <row r="32" spans="1:47" s="422" customFormat="1" ht="14.25">
      <c r="A32" s="421">
        <v>21</v>
      </c>
      <c r="B32" s="385" t="s">
        <v>909</v>
      </c>
      <c r="C32" s="705">
        <v>334.88640000000004</v>
      </c>
      <c r="D32" s="434">
        <v>22.40500000000003</v>
      </c>
      <c r="E32" s="439">
        <v>333.226</v>
      </c>
      <c r="F32" s="429">
        <v>347.12304000000006</v>
      </c>
      <c r="G32" s="558">
        <f t="shared" si="1"/>
        <v>8.5079599999999687</v>
      </c>
      <c r="H32" s="428">
        <v>781.40160000000003</v>
      </c>
      <c r="I32" s="28">
        <v>51.368000000000052</v>
      </c>
      <c r="J32" s="430">
        <v>788.44999999999993</v>
      </c>
      <c r="K32" s="429">
        <v>829.95375999999999</v>
      </c>
      <c r="L32" s="524">
        <f t="shared" si="2"/>
        <v>9.8642399999999952</v>
      </c>
      <c r="M32" s="661">
        <f t="shared" si="3"/>
        <v>1116.288</v>
      </c>
      <c r="N32" s="661">
        <f t="shared" si="4"/>
        <v>73.773000000000081</v>
      </c>
      <c r="O32" s="661">
        <f t="shared" si="5"/>
        <v>1121.6759999999999</v>
      </c>
      <c r="P32" s="661">
        <f t="shared" si="6"/>
        <v>1177.0768</v>
      </c>
      <c r="Q32" s="661">
        <f t="shared" si="7"/>
        <v>1116.288</v>
      </c>
      <c r="R32" s="661">
        <f t="shared" si="8"/>
        <v>1177.0768</v>
      </c>
      <c r="S32" s="661">
        <f t="shared" si="9"/>
        <v>1.0544561976837519</v>
      </c>
      <c r="T32" s="661">
        <v>1.1068062827225131</v>
      </c>
      <c r="U32" s="560">
        <f t="shared" si="10"/>
        <v>-5.2350085038761263E-2</v>
      </c>
      <c r="V32" s="560"/>
      <c r="W32" s="560"/>
      <c r="X32" s="560"/>
      <c r="Y32" s="560"/>
      <c r="Z32" s="560"/>
      <c r="AA32" s="560"/>
      <c r="AB32" s="560"/>
      <c r="AC32" s="560"/>
      <c r="AD32" s="560"/>
      <c r="AE32" s="560"/>
      <c r="AF32" s="560"/>
      <c r="AG32" s="560"/>
      <c r="AH32" s="560"/>
      <c r="AI32" s="560"/>
      <c r="AJ32" s="560"/>
      <c r="AK32" s="560"/>
      <c r="AL32" s="560"/>
      <c r="AM32" s="560"/>
      <c r="AN32" s="555"/>
      <c r="AP32" s="537"/>
      <c r="AR32" s="537"/>
      <c r="AS32" s="537"/>
      <c r="AT32" s="537"/>
      <c r="AU32" s="464"/>
    </row>
    <row r="33" spans="1:47" s="422" customFormat="1" ht="14.25">
      <c r="A33" s="421">
        <v>22</v>
      </c>
      <c r="B33" s="385" t="s">
        <v>910</v>
      </c>
      <c r="C33" s="705">
        <v>1106.07456</v>
      </c>
      <c r="D33" s="434">
        <v>17.989000000000033</v>
      </c>
      <c r="E33" s="439">
        <v>1072.8789999999999</v>
      </c>
      <c r="F33" s="429">
        <v>1071.49728</v>
      </c>
      <c r="G33" s="558">
        <f t="shared" si="1"/>
        <v>19.370719999999892</v>
      </c>
      <c r="H33" s="428">
        <v>2580.8406400000003</v>
      </c>
      <c r="I33" s="28">
        <v>49.523999999999887</v>
      </c>
      <c r="J33" s="430">
        <v>2231.1400000000003</v>
      </c>
      <c r="K33" s="429">
        <v>2280.16032</v>
      </c>
      <c r="L33" s="524">
        <f t="shared" si="2"/>
        <v>0.50368000000025859</v>
      </c>
      <c r="M33" s="661">
        <f t="shared" si="3"/>
        <v>3686.9152000000004</v>
      </c>
      <c r="N33" s="661">
        <f t="shared" si="4"/>
        <v>67.51299999999992</v>
      </c>
      <c r="O33" s="661">
        <f t="shared" si="5"/>
        <v>3304.0190000000002</v>
      </c>
      <c r="P33" s="661">
        <f t="shared" si="6"/>
        <v>3351.6576</v>
      </c>
      <c r="Q33" s="661">
        <f t="shared" si="7"/>
        <v>3686.9152000000004</v>
      </c>
      <c r="R33" s="661">
        <f t="shared" si="8"/>
        <v>3351.6576</v>
      </c>
      <c r="S33" s="661">
        <f t="shared" si="9"/>
        <v>0.90906826389714623</v>
      </c>
      <c r="T33" s="661">
        <v>0.94772888294103752</v>
      </c>
      <c r="U33" s="560">
        <f t="shared" si="10"/>
        <v>-3.8660619043891287E-2</v>
      </c>
      <c r="V33" s="560"/>
      <c r="W33" s="560"/>
      <c r="X33" s="560"/>
      <c r="Y33" s="560"/>
      <c r="Z33" s="560"/>
      <c r="AA33" s="560"/>
      <c r="AB33" s="560"/>
      <c r="AC33" s="560"/>
      <c r="AD33" s="560"/>
      <c r="AE33" s="560"/>
      <c r="AF33" s="560"/>
      <c r="AG33" s="560"/>
      <c r="AH33" s="560"/>
      <c r="AI33" s="560"/>
      <c r="AJ33" s="560"/>
      <c r="AK33" s="560"/>
      <c r="AL33" s="560"/>
      <c r="AM33" s="560"/>
      <c r="AN33" s="555"/>
      <c r="AP33" s="537"/>
      <c r="AR33" s="537"/>
      <c r="AS33" s="537"/>
      <c r="AT33" s="537"/>
      <c r="AU33" s="464"/>
    </row>
    <row r="34" spans="1:47" s="422" customFormat="1" ht="14.25">
      <c r="A34" s="421">
        <v>23</v>
      </c>
      <c r="B34" s="385" t="s">
        <v>911</v>
      </c>
      <c r="C34" s="705">
        <v>454.85688000000005</v>
      </c>
      <c r="D34" s="434">
        <v>15.579999999999984</v>
      </c>
      <c r="E34" s="439">
        <v>401.45</v>
      </c>
      <c r="F34" s="429">
        <v>412.92528000000004</v>
      </c>
      <c r="G34" s="558">
        <f t="shared" si="1"/>
        <v>4.1047199999999293</v>
      </c>
      <c r="H34" s="428">
        <v>1061.3327200000001</v>
      </c>
      <c r="I34" s="28">
        <v>16.143000000000029</v>
      </c>
      <c r="J34" s="430">
        <v>855.33899999999994</v>
      </c>
      <c r="K34" s="429">
        <v>863.49231999999995</v>
      </c>
      <c r="L34" s="524">
        <f t="shared" si="2"/>
        <v>7.9896800000000212</v>
      </c>
      <c r="M34" s="661">
        <f t="shared" si="3"/>
        <v>1516.1896000000002</v>
      </c>
      <c r="N34" s="661">
        <f t="shared" si="4"/>
        <v>31.723000000000013</v>
      </c>
      <c r="O34" s="661">
        <f t="shared" si="5"/>
        <v>1256.789</v>
      </c>
      <c r="P34" s="661">
        <f t="shared" si="6"/>
        <v>1276.4176</v>
      </c>
      <c r="Q34" s="661">
        <f t="shared" si="7"/>
        <v>1516.1896000000002</v>
      </c>
      <c r="R34" s="661">
        <f t="shared" si="8"/>
        <v>1276.4176</v>
      </c>
      <c r="S34" s="661">
        <f t="shared" si="9"/>
        <v>0.84185882820987545</v>
      </c>
      <c r="T34" s="661">
        <v>0.84185882820987556</v>
      </c>
      <c r="U34" s="560">
        <f t="shared" si="10"/>
        <v>0</v>
      </c>
      <c r="V34" s="560"/>
      <c r="W34" s="560"/>
      <c r="X34" s="560"/>
      <c r="Y34" s="560"/>
      <c r="Z34" s="560"/>
      <c r="AA34" s="560"/>
      <c r="AB34" s="560"/>
      <c r="AC34" s="560"/>
      <c r="AD34" s="560"/>
      <c r="AE34" s="560"/>
      <c r="AF34" s="560"/>
      <c r="AG34" s="560"/>
      <c r="AH34" s="560"/>
      <c r="AI34" s="560"/>
      <c r="AJ34" s="560"/>
      <c r="AK34" s="560"/>
      <c r="AL34" s="560"/>
      <c r="AM34" s="560"/>
      <c r="AN34" s="555"/>
      <c r="AP34" s="537"/>
      <c r="AR34" s="537"/>
      <c r="AS34" s="537"/>
      <c r="AT34" s="537"/>
      <c r="AU34" s="464"/>
    </row>
    <row r="35" spans="1:47" s="422" customFormat="1" ht="14.25">
      <c r="A35" s="421">
        <v>24</v>
      </c>
      <c r="B35" s="385" t="s">
        <v>912</v>
      </c>
      <c r="C35" s="705">
        <v>290.51735999999994</v>
      </c>
      <c r="D35" s="434">
        <v>42.733000000000004</v>
      </c>
      <c r="E35" s="439">
        <v>302.17</v>
      </c>
      <c r="F35" s="429">
        <v>324.32208000000003</v>
      </c>
      <c r="G35" s="558">
        <f t="shared" si="1"/>
        <v>20.580919999999992</v>
      </c>
      <c r="H35" s="428">
        <v>677.87384000000009</v>
      </c>
      <c r="I35" s="28">
        <v>41.197000000000116</v>
      </c>
      <c r="J35" s="430">
        <v>700.37</v>
      </c>
      <c r="K35" s="429">
        <v>736.75152000000003</v>
      </c>
      <c r="L35" s="524">
        <f t="shared" si="2"/>
        <v>4.8154800000000932</v>
      </c>
      <c r="M35" s="661">
        <f t="shared" si="3"/>
        <v>968.39120000000003</v>
      </c>
      <c r="N35" s="661">
        <f t="shared" si="4"/>
        <v>83.930000000000121</v>
      </c>
      <c r="O35" s="661">
        <f t="shared" si="5"/>
        <v>1002.54</v>
      </c>
      <c r="P35" s="661">
        <f t="shared" si="6"/>
        <v>1061.0736000000002</v>
      </c>
      <c r="Q35" s="661">
        <f t="shared" si="7"/>
        <v>968.39120000000003</v>
      </c>
      <c r="R35" s="661">
        <f t="shared" si="8"/>
        <v>1061.0736000000002</v>
      </c>
      <c r="S35" s="661">
        <f t="shared" si="9"/>
        <v>1.0957076024647892</v>
      </c>
      <c r="T35" s="661">
        <v>1.0957092546896336</v>
      </c>
      <c r="U35" s="560">
        <f t="shared" si="10"/>
        <v>-1.6522248444950094E-6</v>
      </c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560"/>
      <c r="AJ35" s="560"/>
      <c r="AK35" s="560"/>
      <c r="AL35" s="560"/>
      <c r="AM35" s="560"/>
      <c r="AN35" s="555"/>
      <c r="AP35" s="537"/>
      <c r="AR35" s="537"/>
      <c r="AS35" s="537"/>
      <c r="AT35" s="537"/>
      <c r="AU35" s="464"/>
    </row>
    <row r="36" spans="1:47" s="422" customFormat="1" ht="14.25">
      <c r="A36" s="421">
        <v>25</v>
      </c>
      <c r="B36" s="385" t="s">
        <v>913</v>
      </c>
      <c r="C36" s="705">
        <v>786.04223999999999</v>
      </c>
      <c r="D36" s="434">
        <v>55.929000000000087</v>
      </c>
      <c r="E36" s="439">
        <v>722.42000000000007</v>
      </c>
      <c r="F36" s="429">
        <v>774.61103999999978</v>
      </c>
      <c r="G36" s="558">
        <f t="shared" si="1"/>
        <v>3.7379600000003848</v>
      </c>
      <c r="H36" s="428">
        <v>1834.0985600000001</v>
      </c>
      <c r="I36" s="28">
        <v>13.365999999999985</v>
      </c>
      <c r="J36" s="430">
        <v>1891.73</v>
      </c>
      <c r="K36" s="429">
        <v>1897.4257600000001</v>
      </c>
      <c r="L36" s="524">
        <f t="shared" si="2"/>
        <v>7.6702399999999216</v>
      </c>
      <c r="M36" s="661">
        <f t="shared" si="3"/>
        <v>2620.1408000000001</v>
      </c>
      <c r="N36" s="661">
        <f t="shared" si="4"/>
        <v>69.295000000000073</v>
      </c>
      <c r="O36" s="661">
        <f t="shared" si="5"/>
        <v>2614.15</v>
      </c>
      <c r="P36" s="661">
        <f t="shared" si="6"/>
        <v>2672.0367999999999</v>
      </c>
      <c r="Q36" s="661">
        <f t="shared" si="7"/>
        <v>2620.1408000000001</v>
      </c>
      <c r="R36" s="661">
        <f t="shared" si="8"/>
        <v>2672.0367999999999</v>
      </c>
      <c r="S36" s="661">
        <f t="shared" si="9"/>
        <v>1.0198065691736871</v>
      </c>
      <c r="T36" s="661">
        <v>1.0270188329290912</v>
      </c>
      <c r="U36" s="560">
        <f t="shared" si="10"/>
        <v>-7.2122637554041802E-3</v>
      </c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55"/>
      <c r="AP36" s="537"/>
      <c r="AR36" s="537"/>
      <c r="AS36" s="537"/>
      <c r="AT36" s="537"/>
      <c r="AU36" s="464"/>
    </row>
    <row r="37" spans="1:47" s="422" customFormat="1" ht="14.25">
      <c r="A37" s="421">
        <v>26</v>
      </c>
      <c r="B37" s="385" t="s">
        <v>914</v>
      </c>
      <c r="C37" s="705">
        <v>578.93280000000004</v>
      </c>
      <c r="D37" s="434">
        <v>28.213000000000079</v>
      </c>
      <c r="E37" s="439">
        <v>553.82999999999993</v>
      </c>
      <c r="F37" s="429">
        <v>579.72431999999981</v>
      </c>
      <c r="G37" s="558">
        <f t="shared" si="1"/>
        <v>2.3186800000001995</v>
      </c>
      <c r="H37" s="428">
        <v>1350.8432</v>
      </c>
      <c r="I37" s="28">
        <v>47.831000000000131</v>
      </c>
      <c r="J37" s="430">
        <v>1389.0700000000002</v>
      </c>
      <c r="K37" s="429">
        <v>1432.6900800000001</v>
      </c>
      <c r="L37" s="524">
        <f t="shared" si="2"/>
        <v>4.2109200000002147</v>
      </c>
      <c r="M37" s="661">
        <f t="shared" si="3"/>
        <v>1929.7760000000001</v>
      </c>
      <c r="N37" s="661">
        <f t="shared" si="4"/>
        <v>76.04400000000021</v>
      </c>
      <c r="O37" s="661">
        <f t="shared" si="5"/>
        <v>1942.9</v>
      </c>
      <c r="P37" s="661">
        <f t="shared" si="6"/>
        <v>2012.4143999999999</v>
      </c>
      <c r="Q37" s="661">
        <f t="shared" si="7"/>
        <v>1929.7760000000001</v>
      </c>
      <c r="R37" s="661">
        <f t="shared" si="8"/>
        <v>2012.4143999999999</v>
      </c>
      <c r="S37" s="661">
        <f t="shared" si="9"/>
        <v>1.042822793940851</v>
      </c>
      <c r="T37" s="661">
        <v>1.0428227939408512</v>
      </c>
      <c r="U37" s="560">
        <f t="shared" si="10"/>
        <v>0</v>
      </c>
      <c r="V37" s="560"/>
      <c r="W37" s="560"/>
      <c r="X37" s="560"/>
      <c r="Y37" s="560"/>
      <c r="Z37" s="560"/>
      <c r="AA37" s="560"/>
      <c r="AB37" s="560"/>
      <c r="AC37" s="560"/>
      <c r="AD37" s="560"/>
      <c r="AE37" s="560"/>
      <c r="AF37" s="560"/>
      <c r="AG37" s="560"/>
      <c r="AH37" s="560"/>
      <c r="AI37" s="560"/>
      <c r="AJ37" s="560"/>
      <c r="AK37" s="560"/>
      <c r="AL37" s="560"/>
      <c r="AM37" s="560"/>
      <c r="AN37" s="555"/>
      <c r="AP37" s="537"/>
      <c r="AR37" s="537"/>
      <c r="AS37" s="537"/>
      <c r="AT37" s="537"/>
      <c r="AU37" s="464"/>
    </row>
    <row r="38" spans="1:47" s="422" customFormat="1" ht="14.25">
      <c r="A38" s="421">
        <v>27</v>
      </c>
      <c r="B38" s="385" t="s">
        <v>915</v>
      </c>
      <c r="C38" s="705">
        <v>393.22607999999991</v>
      </c>
      <c r="D38" s="434">
        <v>51.658999999999992</v>
      </c>
      <c r="E38" s="439">
        <v>418.03999999999996</v>
      </c>
      <c r="F38" s="429">
        <v>461.3424</v>
      </c>
      <c r="G38" s="558">
        <f t="shared" si="1"/>
        <v>8.3565999999999576</v>
      </c>
      <c r="H38" s="428">
        <v>917.5275200000001</v>
      </c>
      <c r="I38" s="28">
        <v>113.97000000000003</v>
      </c>
      <c r="J38" s="430">
        <v>1016.72</v>
      </c>
      <c r="K38" s="429">
        <v>1126.4656</v>
      </c>
      <c r="L38" s="524">
        <f t="shared" si="2"/>
        <v>4.2244000000000597</v>
      </c>
      <c r="M38" s="661">
        <f t="shared" si="3"/>
        <v>1310.7536</v>
      </c>
      <c r="N38" s="661">
        <f t="shared" si="4"/>
        <v>165.62900000000002</v>
      </c>
      <c r="O38" s="661">
        <f t="shared" si="5"/>
        <v>1434.76</v>
      </c>
      <c r="P38" s="661">
        <f t="shared" si="6"/>
        <v>1587.808</v>
      </c>
      <c r="Q38" s="661">
        <f t="shared" si="7"/>
        <v>1310.7536</v>
      </c>
      <c r="R38" s="661">
        <f t="shared" si="8"/>
        <v>1587.808</v>
      </c>
      <c r="S38" s="661">
        <f t="shared" si="9"/>
        <v>1.2113703139934158</v>
      </c>
      <c r="T38" s="661">
        <v>1.2113703139934158</v>
      </c>
      <c r="U38" s="560">
        <f t="shared" si="10"/>
        <v>0</v>
      </c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0"/>
      <c r="AJ38" s="560"/>
      <c r="AK38" s="560"/>
      <c r="AL38" s="560"/>
      <c r="AM38" s="560"/>
      <c r="AN38" s="555"/>
      <c r="AP38" s="537"/>
      <c r="AR38" s="537"/>
      <c r="AS38" s="537"/>
      <c r="AT38" s="537"/>
      <c r="AU38" s="464"/>
    </row>
    <row r="39" spans="1:47" s="422" customFormat="1" ht="14.25">
      <c r="A39" s="421">
        <v>28</v>
      </c>
      <c r="B39" s="385" t="s">
        <v>916</v>
      </c>
      <c r="C39" s="705">
        <v>444.07583999999997</v>
      </c>
      <c r="D39" s="434">
        <v>4.2950000000000159</v>
      </c>
      <c r="E39" s="439">
        <v>452.45</v>
      </c>
      <c r="F39" s="429">
        <v>451.62351999999998</v>
      </c>
      <c r="G39" s="558">
        <f t="shared" si="1"/>
        <v>5.1214800000000196</v>
      </c>
      <c r="H39" s="658">
        <v>1036.17696</v>
      </c>
      <c r="I39" s="559">
        <v>13.016999999999939</v>
      </c>
      <c r="J39" s="423">
        <v>1044.4290000000001</v>
      </c>
      <c r="K39" s="429">
        <v>1050.45488</v>
      </c>
      <c r="L39" s="524">
        <f t="shared" si="2"/>
        <v>6.9911199999999099</v>
      </c>
      <c r="M39" s="661">
        <f t="shared" si="3"/>
        <v>1480.2528</v>
      </c>
      <c r="N39" s="661">
        <f t="shared" si="4"/>
        <v>17.311999999999955</v>
      </c>
      <c r="O39" s="661">
        <f t="shared" si="5"/>
        <v>1496.8790000000001</v>
      </c>
      <c r="P39" s="661">
        <f t="shared" si="6"/>
        <v>1502.0783999999999</v>
      </c>
      <c r="Q39" s="661">
        <f t="shared" si="7"/>
        <v>1480.2528</v>
      </c>
      <c r="R39" s="661">
        <f t="shared" si="8"/>
        <v>1502.0783999999999</v>
      </c>
      <c r="S39" s="661">
        <f t="shared" si="9"/>
        <v>1.0147445085055742</v>
      </c>
      <c r="T39" s="661">
        <v>1.0147482916431572</v>
      </c>
      <c r="U39" s="560">
        <f t="shared" si="10"/>
        <v>-3.7831375829799896E-6</v>
      </c>
      <c r="V39" s="560"/>
      <c r="W39" s="560"/>
      <c r="X39" s="560"/>
      <c r="Y39" s="560"/>
      <c r="Z39" s="560"/>
      <c r="AA39" s="560"/>
      <c r="AB39" s="560"/>
      <c r="AC39" s="560"/>
      <c r="AD39" s="560"/>
      <c r="AE39" s="560"/>
      <c r="AF39" s="560"/>
      <c r="AG39" s="560"/>
      <c r="AH39" s="560"/>
      <c r="AI39" s="560"/>
      <c r="AJ39" s="560"/>
      <c r="AK39" s="560"/>
      <c r="AL39" s="560"/>
      <c r="AM39" s="560"/>
      <c r="AN39" s="555"/>
      <c r="AP39" s="537"/>
      <c r="AR39" s="537"/>
      <c r="AS39" s="537"/>
      <c r="AT39" s="537"/>
      <c r="AU39" s="464"/>
    </row>
    <row r="40" spans="1:47" s="422" customFormat="1" ht="14.25">
      <c r="A40" s="421">
        <v>29</v>
      </c>
      <c r="B40" s="385" t="s">
        <v>917</v>
      </c>
      <c r="C40" s="705">
        <v>447.17184000000003</v>
      </c>
      <c r="D40" s="434">
        <v>17.691000000000031</v>
      </c>
      <c r="E40" s="439">
        <v>427.90999999999997</v>
      </c>
      <c r="F40" s="429">
        <v>435.12047999999993</v>
      </c>
      <c r="G40" s="558">
        <f t="shared" si="1"/>
        <v>10.48052000000007</v>
      </c>
      <c r="H40" s="428">
        <v>1043.4009599999999</v>
      </c>
      <c r="I40" s="28">
        <v>28.839999999999918</v>
      </c>
      <c r="J40" s="430">
        <v>900.45</v>
      </c>
      <c r="K40" s="429">
        <v>925.28111999999999</v>
      </c>
      <c r="L40" s="524">
        <f t="shared" si="2"/>
        <v>4.0088799999999765</v>
      </c>
      <c r="M40" s="661">
        <f t="shared" si="3"/>
        <v>1490.5727999999999</v>
      </c>
      <c r="N40" s="661">
        <f t="shared" si="4"/>
        <v>46.530999999999949</v>
      </c>
      <c r="O40" s="661">
        <f t="shared" si="5"/>
        <v>1328.3600000000001</v>
      </c>
      <c r="P40" s="661">
        <f t="shared" si="6"/>
        <v>1360.4015999999999</v>
      </c>
      <c r="Q40" s="661">
        <f t="shared" si="7"/>
        <v>1490.5727999999999</v>
      </c>
      <c r="R40" s="661">
        <f t="shared" si="8"/>
        <v>1360.4015999999999</v>
      </c>
      <c r="S40" s="661">
        <f t="shared" si="9"/>
        <v>0.91267035061957391</v>
      </c>
      <c r="T40" s="661">
        <v>1.0680096167856623</v>
      </c>
      <c r="U40" s="560">
        <f t="shared" si="10"/>
        <v>-0.1553392661660884</v>
      </c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0"/>
      <c r="AJ40" s="560"/>
      <c r="AK40" s="560"/>
      <c r="AL40" s="560"/>
      <c r="AM40" s="560"/>
      <c r="AN40" s="555"/>
      <c r="AP40" s="537"/>
      <c r="AR40" s="537"/>
      <c r="AS40" s="537"/>
      <c r="AT40" s="537"/>
      <c r="AU40" s="464"/>
    </row>
    <row r="41" spans="1:47" s="422" customFormat="1" ht="14.25">
      <c r="A41" s="421">
        <v>30</v>
      </c>
      <c r="B41" s="385" t="s">
        <v>918</v>
      </c>
      <c r="C41" s="705">
        <v>532.67663999999991</v>
      </c>
      <c r="D41" s="434">
        <v>55.720000000000027</v>
      </c>
      <c r="E41" s="439">
        <v>484.63</v>
      </c>
      <c r="F41" s="429">
        <v>536.53912000000003</v>
      </c>
      <c r="G41" s="558">
        <f t="shared" si="1"/>
        <v>3.8108799999999974</v>
      </c>
      <c r="H41" s="428">
        <v>1242.9121600000001</v>
      </c>
      <c r="I41" s="28">
        <v>106.08300000000008</v>
      </c>
      <c r="J41" s="430">
        <v>1062.42</v>
      </c>
      <c r="K41" s="429">
        <v>1165.5912800000001</v>
      </c>
      <c r="L41" s="524">
        <f t="shared" si="2"/>
        <v>2.9117200000000594</v>
      </c>
      <c r="M41" s="661">
        <f t="shared" si="3"/>
        <v>1775.5888</v>
      </c>
      <c r="N41" s="661">
        <f t="shared" si="4"/>
        <v>161.80300000000011</v>
      </c>
      <c r="O41" s="661">
        <f t="shared" si="5"/>
        <v>1547.0500000000002</v>
      </c>
      <c r="P41" s="661">
        <f t="shared" si="6"/>
        <v>1702.1304</v>
      </c>
      <c r="Q41" s="661">
        <f t="shared" si="7"/>
        <v>1775.5888</v>
      </c>
      <c r="R41" s="661">
        <f t="shared" si="8"/>
        <v>1702.1304</v>
      </c>
      <c r="S41" s="661">
        <f t="shared" si="9"/>
        <v>0.95862870953004431</v>
      </c>
      <c r="T41" s="661">
        <v>0.95863276452295709</v>
      </c>
      <c r="U41" s="560">
        <f t="shared" si="10"/>
        <v>-4.0549929127831064E-6</v>
      </c>
      <c r="V41" s="560"/>
      <c r="W41" s="560"/>
      <c r="X41" s="560"/>
      <c r="Y41" s="560"/>
      <c r="Z41" s="560"/>
      <c r="AA41" s="560"/>
      <c r="AB41" s="560"/>
      <c r="AC41" s="560"/>
      <c r="AD41" s="560"/>
      <c r="AE41" s="560"/>
      <c r="AF41" s="560"/>
      <c r="AG41" s="560"/>
      <c r="AH41" s="560"/>
      <c r="AI41" s="560"/>
      <c r="AJ41" s="560"/>
      <c r="AK41" s="560"/>
      <c r="AL41" s="560"/>
      <c r="AM41" s="560"/>
      <c r="AN41" s="555"/>
      <c r="AP41" s="537"/>
      <c r="AR41" s="537"/>
      <c r="AS41" s="537"/>
      <c r="AT41" s="537"/>
      <c r="AU41" s="464"/>
    </row>
    <row r="42" spans="1:47" s="422" customFormat="1" ht="14.25">
      <c r="A42" s="421">
        <v>31</v>
      </c>
      <c r="B42" s="385" t="s">
        <v>919</v>
      </c>
      <c r="C42" s="705">
        <v>343.23935999999992</v>
      </c>
      <c r="D42" s="434">
        <v>30.937999999999931</v>
      </c>
      <c r="E42" s="439">
        <v>382.9</v>
      </c>
      <c r="F42" s="429">
        <v>405.41935999999998</v>
      </c>
      <c r="G42" s="558">
        <f t="shared" si="1"/>
        <v>8.4186399999999253</v>
      </c>
      <c r="H42" s="428">
        <v>800.89184000000012</v>
      </c>
      <c r="I42" s="28">
        <v>20.870000000000005</v>
      </c>
      <c r="J42" s="430">
        <v>764.00200000000007</v>
      </c>
      <c r="K42" s="429">
        <v>779.31183999999996</v>
      </c>
      <c r="L42" s="524">
        <f t="shared" si="2"/>
        <v>5.5601600000001099</v>
      </c>
      <c r="M42" s="661">
        <f t="shared" si="3"/>
        <v>1144.1312</v>
      </c>
      <c r="N42" s="661">
        <f t="shared" si="4"/>
        <v>51.807999999999936</v>
      </c>
      <c r="O42" s="661">
        <f t="shared" si="5"/>
        <v>1146.902</v>
      </c>
      <c r="P42" s="661">
        <f t="shared" si="6"/>
        <v>1184.7311999999999</v>
      </c>
      <c r="Q42" s="661">
        <f t="shared" si="7"/>
        <v>1144.1312</v>
      </c>
      <c r="R42" s="661">
        <f t="shared" si="8"/>
        <v>1184.7311999999999</v>
      </c>
      <c r="S42" s="661">
        <f t="shared" si="9"/>
        <v>1.035485440830562</v>
      </c>
      <c r="T42" s="661">
        <v>1.035485440830562</v>
      </c>
      <c r="U42" s="560">
        <f t="shared" si="10"/>
        <v>0</v>
      </c>
      <c r="V42" s="560"/>
      <c r="W42" s="560"/>
      <c r="X42" s="560"/>
      <c r="Y42" s="560"/>
      <c r="Z42" s="560"/>
      <c r="AA42" s="560"/>
      <c r="AB42" s="560"/>
      <c r="AC42" s="560"/>
      <c r="AD42" s="560"/>
      <c r="AE42" s="560"/>
      <c r="AF42" s="560"/>
      <c r="AG42" s="560"/>
      <c r="AH42" s="560"/>
      <c r="AI42" s="560"/>
      <c r="AJ42" s="560"/>
      <c r="AK42" s="560"/>
      <c r="AL42" s="560"/>
      <c r="AM42" s="560"/>
      <c r="AN42" s="555"/>
      <c r="AP42" s="537"/>
      <c r="AR42" s="537"/>
      <c r="AS42" s="537"/>
      <c r="AT42" s="537"/>
      <c r="AU42" s="464"/>
    </row>
    <row r="43" spans="1:47" s="422" customFormat="1" ht="14.25">
      <c r="A43" s="421">
        <v>32</v>
      </c>
      <c r="B43" s="385" t="s">
        <v>920</v>
      </c>
      <c r="C43" s="705">
        <v>347.52672000000007</v>
      </c>
      <c r="D43" s="434">
        <v>135.916</v>
      </c>
      <c r="E43" s="439">
        <v>383.62</v>
      </c>
      <c r="F43" s="429">
        <v>512.27168000000006</v>
      </c>
      <c r="G43" s="558">
        <f t="shared" si="1"/>
        <v>7.2643199999999979</v>
      </c>
      <c r="H43" s="428">
        <v>810.89568000000008</v>
      </c>
      <c r="I43" s="28">
        <v>35.643999999999892</v>
      </c>
      <c r="J43" s="430">
        <v>893.75900000000013</v>
      </c>
      <c r="K43" s="429">
        <v>928.63391999999999</v>
      </c>
      <c r="L43" s="524">
        <f t="shared" si="2"/>
        <v>0.76908000000003085</v>
      </c>
      <c r="M43" s="661">
        <f t="shared" si="3"/>
        <v>1158.4224000000002</v>
      </c>
      <c r="N43" s="661">
        <f t="shared" si="4"/>
        <v>171.55999999999989</v>
      </c>
      <c r="O43" s="661">
        <f t="shared" si="5"/>
        <v>1277.3790000000001</v>
      </c>
      <c r="P43" s="661">
        <f t="shared" si="6"/>
        <v>1440.9056</v>
      </c>
      <c r="Q43" s="661">
        <f t="shared" si="7"/>
        <v>1158.4224000000002</v>
      </c>
      <c r="R43" s="661">
        <f t="shared" si="8"/>
        <v>1440.9056</v>
      </c>
      <c r="S43" s="661">
        <f t="shared" si="9"/>
        <v>1.2438516382279901</v>
      </c>
      <c r="T43" s="661">
        <v>1.2438516382279901</v>
      </c>
      <c r="U43" s="560">
        <f t="shared" si="10"/>
        <v>0</v>
      </c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0"/>
      <c r="AM43" s="560"/>
      <c r="AN43" s="555"/>
      <c r="AP43" s="537"/>
      <c r="AR43" s="537"/>
      <c r="AS43" s="537"/>
      <c r="AT43" s="537"/>
      <c r="AU43" s="464"/>
    </row>
    <row r="44" spans="1:47" s="422" customFormat="1" ht="14.25">
      <c r="A44" s="421">
        <v>33</v>
      </c>
      <c r="B44" s="385" t="s">
        <v>921</v>
      </c>
      <c r="C44" s="705">
        <v>1318.8503999999998</v>
      </c>
      <c r="D44" s="434">
        <v>14.018000000000256</v>
      </c>
      <c r="E44" s="439">
        <v>1061.1199999999999</v>
      </c>
      <c r="F44" s="429">
        <v>1073.7460799999999</v>
      </c>
      <c r="G44" s="558">
        <f t="shared" si="1"/>
        <v>1.3919200000002547</v>
      </c>
      <c r="H44" s="428">
        <v>3077.3176000000008</v>
      </c>
      <c r="I44" s="28">
        <v>15.126000000000204</v>
      </c>
      <c r="J44" s="430">
        <v>2538.9499999999998</v>
      </c>
      <c r="K44" s="429">
        <v>2548.4075200000002</v>
      </c>
      <c r="L44" s="524">
        <f t="shared" si="2"/>
        <v>5.6684799999998177</v>
      </c>
      <c r="M44" s="661">
        <f t="shared" si="3"/>
        <v>4396.1680000000006</v>
      </c>
      <c r="N44" s="661">
        <f t="shared" si="4"/>
        <v>29.14400000000046</v>
      </c>
      <c r="O44" s="661">
        <f t="shared" si="5"/>
        <v>3600.0699999999997</v>
      </c>
      <c r="P44" s="661">
        <f t="shared" si="6"/>
        <v>3622.1536000000001</v>
      </c>
      <c r="Q44" s="661">
        <f t="shared" si="7"/>
        <v>4396.1680000000006</v>
      </c>
      <c r="R44" s="661">
        <f t="shared" si="8"/>
        <v>3622.1536000000001</v>
      </c>
      <c r="S44" s="661">
        <f t="shared" si="9"/>
        <v>0.82393429914416361</v>
      </c>
      <c r="T44" s="661">
        <v>0.82393266135416121</v>
      </c>
      <c r="U44" s="560">
        <f t="shared" si="10"/>
        <v>1.6377900023956116E-6</v>
      </c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0"/>
      <c r="AJ44" s="560"/>
      <c r="AK44" s="560"/>
      <c r="AL44" s="560"/>
      <c r="AM44" s="560"/>
      <c r="AN44" s="555"/>
      <c r="AP44" s="537"/>
      <c r="AR44" s="537"/>
      <c r="AS44" s="537"/>
      <c r="AT44" s="537"/>
      <c r="AU44" s="464"/>
    </row>
    <row r="45" spans="1:47">
      <c r="A45" s="3" t="s">
        <v>19</v>
      </c>
      <c r="B45" s="19"/>
      <c r="C45" s="429">
        <f>SUM(C12:C44)</f>
        <v>21128.1456</v>
      </c>
      <c r="D45" s="429">
        <f t="shared" ref="D45:L45" si="11">SUM(D12:D44)</f>
        <v>1089.5610000000004</v>
      </c>
      <c r="E45" s="429">
        <f t="shared" si="11"/>
        <v>19686.298000000003</v>
      </c>
      <c r="F45" s="429">
        <f t="shared" si="11"/>
        <v>20533.737440000004</v>
      </c>
      <c r="G45" s="429">
        <f t="shared" si="11"/>
        <v>242.12156000000135</v>
      </c>
      <c r="H45" s="429">
        <f t="shared" si="11"/>
        <v>49299.006399999998</v>
      </c>
      <c r="I45" s="429">
        <f t="shared" si="11"/>
        <v>1390.9640000000004</v>
      </c>
      <c r="J45" s="429">
        <f t="shared" si="11"/>
        <v>47520.581000000006</v>
      </c>
      <c r="K45" s="429">
        <f t="shared" si="11"/>
        <v>48418.807359999999</v>
      </c>
      <c r="L45" s="429">
        <f t="shared" si="11"/>
        <v>492.73764000000074</v>
      </c>
      <c r="M45" s="657"/>
      <c r="N45" s="657"/>
      <c r="O45" s="657"/>
      <c r="P45" s="661"/>
      <c r="Q45" s="657"/>
      <c r="R45" s="657"/>
      <c r="S45" s="657"/>
      <c r="T45" s="657"/>
      <c r="U45" s="561"/>
      <c r="V45" s="22"/>
      <c r="W45" s="22"/>
      <c r="X45" s="22"/>
      <c r="Y45" s="561"/>
      <c r="Z45" s="22"/>
      <c r="AA45" s="22"/>
      <c r="AB45" s="22"/>
      <c r="AC45" s="56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P45" s="537"/>
      <c r="AR45" s="537"/>
      <c r="AS45" s="537"/>
      <c r="AT45" s="537"/>
      <c r="AU45" s="509"/>
    </row>
    <row r="46" spans="1:47">
      <c r="A46" s="21" t="s">
        <v>666</v>
      </c>
      <c r="B46" s="22"/>
      <c r="C46" s="22"/>
      <c r="D46" s="22"/>
      <c r="E46" s="22"/>
      <c r="F46" s="22"/>
      <c r="G46" s="22"/>
      <c r="H46" s="22"/>
      <c r="I46" s="22" t="s">
        <v>1071</v>
      </c>
      <c r="J46" s="561">
        <f>F45+K45</f>
        <v>68952.544800000003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7" ht="15.75" customHeight="1">
      <c r="A47" s="14" t="s">
        <v>1047</v>
      </c>
      <c r="B47" s="14"/>
      <c r="C47" s="634"/>
      <c r="D47" s="14"/>
      <c r="E47" s="634">
        <f>E45+J45</f>
        <v>67206.879000000015</v>
      </c>
      <c r="F47" s="14"/>
      <c r="G47" s="634">
        <f>E47+55758.51</f>
        <v>122965.38900000002</v>
      </c>
      <c r="H47" s="14"/>
      <c r="I47" s="14" t="s">
        <v>1072</v>
      </c>
      <c r="J47" s="634">
        <f>E45+J45</f>
        <v>67206.879000000015</v>
      </c>
      <c r="K47" s="63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7" ht="18" customHeight="1">
      <c r="A48" s="871" t="s">
        <v>13</v>
      </c>
      <c r="B48" s="871"/>
      <c r="C48" s="871"/>
      <c r="D48" s="871"/>
      <c r="E48" s="871"/>
      <c r="F48" s="871"/>
      <c r="G48" s="871"/>
      <c r="H48" s="871"/>
      <c r="I48" s="871"/>
      <c r="J48" s="871"/>
      <c r="K48" s="871"/>
      <c r="L48" s="871"/>
      <c r="M48" s="636"/>
      <c r="N48" s="636"/>
      <c r="O48" s="636"/>
      <c r="P48" s="636"/>
      <c r="Q48" s="636"/>
      <c r="R48" s="711"/>
      <c r="S48" s="711"/>
      <c r="T48" s="636"/>
      <c r="U48" s="492"/>
      <c r="V48" s="492"/>
      <c r="W48" s="636"/>
      <c r="X48" s="636"/>
      <c r="Y48" s="492"/>
      <c r="Z48" s="492"/>
      <c r="AA48" s="492"/>
      <c r="AB48" s="492"/>
      <c r="AC48" s="492"/>
      <c r="AD48" s="492"/>
      <c r="AE48" s="636"/>
      <c r="AF48" s="636"/>
      <c r="AG48" s="636"/>
      <c r="AH48" s="636"/>
      <c r="AI48" s="636"/>
      <c r="AJ48" s="636"/>
      <c r="AK48" s="636"/>
      <c r="AL48" s="636"/>
      <c r="AM48" s="636"/>
      <c r="AN48" s="492"/>
    </row>
    <row r="49" spans="1:43">
      <c r="A49" s="871" t="s">
        <v>14</v>
      </c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1"/>
      <c r="M49" s="636"/>
      <c r="N49" s="636"/>
      <c r="O49" s="636"/>
      <c r="P49" s="636"/>
      <c r="Q49" s="636"/>
      <c r="R49" s="711"/>
      <c r="S49" s="711"/>
      <c r="T49" s="636"/>
      <c r="U49" s="492"/>
      <c r="V49" s="492"/>
      <c r="W49" s="636"/>
      <c r="X49" s="636"/>
      <c r="Y49" s="492"/>
      <c r="Z49" s="492"/>
      <c r="AA49" s="492"/>
      <c r="AB49" s="492"/>
      <c r="AC49" s="492"/>
      <c r="AD49" s="492"/>
      <c r="AE49" s="636"/>
      <c r="AF49" s="636"/>
      <c r="AG49" s="636"/>
      <c r="AH49" s="636"/>
      <c r="AI49" s="636"/>
      <c r="AJ49" s="636"/>
      <c r="AK49" s="636"/>
      <c r="AL49" s="636"/>
      <c r="AM49" s="636"/>
      <c r="AN49" s="492"/>
      <c r="AQ49" s="15" t="e">
        <f>AR45/AP45*100</f>
        <v>#DIV/0!</v>
      </c>
    </row>
    <row r="50" spans="1:43">
      <c r="A50" s="871" t="s">
        <v>1069</v>
      </c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  <c r="M50" s="636"/>
      <c r="N50" s="636"/>
      <c r="O50" s="636"/>
      <c r="P50" s="636"/>
      <c r="Q50" s="636"/>
      <c r="R50" s="711"/>
      <c r="S50" s="711"/>
      <c r="T50" s="636"/>
      <c r="U50" s="492"/>
      <c r="V50" s="492"/>
      <c r="W50" s="636"/>
      <c r="X50" s="636"/>
      <c r="Y50" s="492"/>
      <c r="Z50" s="492"/>
      <c r="AA50" s="492"/>
      <c r="AB50" s="492"/>
      <c r="AC50" s="492"/>
      <c r="AD50" s="492"/>
      <c r="AE50" s="636"/>
      <c r="AF50" s="636"/>
      <c r="AG50" s="636"/>
      <c r="AH50" s="636"/>
      <c r="AI50" s="636"/>
      <c r="AJ50" s="636"/>
      <c r="AK50" s="636"/>
      <c r="AL50" s="636"/>
      <c r="AM50" s="636"/>
      <c r="AN50" s="492"/>
    </row>
    <row r="51" spans="1:43">
      <c r="A51" s="14" t="s">
        <v>23</v>
      </c>
      <c r="B51" s="634">
        <f>H51+56096.47</f>
        <v>124042.95239999999</v>
      </c>
      <c r="C51" s="14"/>
      <c r="D51" s="634"/>
      <c r="E51" s="14" t="s">
        <v>1070</v>
      </c>
      <c r="F51" s="634">
        <f>21128-1089.56</f>
        <v>20038.439999999999</v>
      </c>
      <c r="G51" s="464">
        <f>H45-I45</f>
        <v>47908.042399999998</v>
      </c>
      <c r="H51" s="464">
        <f>G51+F51</f>
        <v>67946.482399999994</v>
      </c>
      <c r="J51" s="850" t="s">
        <v>87</v>
      </c>
      <c r="K51" s="850"/>
      <c r="L51" s="850"/>
      <c r="M51" s="639"/>
      <c r="N51" s="639"/>
      <c r="O51" s="639"/>
      <c r="P51" s="639"/>
      <c r="Q51" s="639"/>
      <c r="R51" s="712"/>
      <c r="S51" s="712"/>
      <c r="T51" s="639"/>
      <c r="U51" s="495"/>
      <c r="V51" s="495"/>
      <c r="W51" s="639"/>
      <c r="X51" s="639"/>
      <c r="Y51" s="495"/>
      <c r="Z51" s="495"/>
      <c r="AA51" s="495"/>
      <c r="AB51" s="495"/>
      <c r="AC51" s="495"/>
      <c r="AD51" s="495"/>
      <c r="AE51" s="639"/>
      <c r="AF51" s="639"/>
      <c r="AG51" s="639"/>
      <c r="AH51" s="639"/>
      <c r="AI51" s="639"/>
      <c r="AJ51" s="639"/>
      <c r="AK51" s="639"/>
      <c r="AL51" s="639"/>
      <c r="AM51" s="639"/>
      <c r="AN51" s="495"/>
    </row>
    <row r="52" spans="1:43">
      <c r="A52" s="14"/>
      <c r="B52" s="817" t="s">
        <v>1068</v>
      </c>
      <c r="C52" s="464">
        <f>D45+I45</f>
        <v>2480.5250000000005</v>
      </c>
      <c r="D52" s="15">
        <v>2944.53</v>
      </c>
      <c r="F52" s="464">
        <f>C52+D52</f>
        <v>5425.0550000000003</v>
      </c>
    </row>
    <row r="53" spans="1:43">
      <c r="A53" s="934"/>
      <c r="B53" s="934"/>
      <c r="C53" s="934"/>
      <c r="D53" s="934"/>
      <c r="E53" s="934"/>
      <c r="F53" s="934"/>
      <c r="G53" s="934"/>
      <c r="H53" s="934"/>
      <c r="I53" s="934"/>
      <c r="J53" s="934"/>
      <c r="K53" s="934"/>
      <c r="L53" s="934"/>
      <c r="M53" s="652"/>
      <c r="N53" s="652"/>
      <c r="O53" s="652"/>
      <c r="P53" s="652"/>
      <c r="Q53" s="652"/>
      <c r="R53" s="716"/>
      <c r="S53" s="716"/>
      <c r="T53" s="652"/>
      <c r="U53" s="508"/>
      <c r="V53" s="508"/>
      <c r="W53" s="652"/>
      <c r="X53" s="652"/>
      <c r="Y53" s="508"/>
      <c r="Z53" s="508"/>
      <c r="AA53" s="508"/>
      <c r="AB53" s="508"/>
      <c r="AC53" s="508"/>
      <c r="AD53" s="508"/>
      <c r="AE53" s="652"/>
      <c r="AF53" s="652"/>
      <c r="AG53" s="652"/>
      <c r="AH53" s="652"/>
      <c r="AI53" s="652"/>
      <c r="AJ53" s="652"/>
      <c r="AK53" s="652"/>
      <c r="AL53" s="652"/>
      <c r="AM53" s="652"/>
      <c r="AN53" s="508"/>
    </row>
  </sheetData>
  <mergeCells count="16">
    <mergeCell ref="A53:L53"/>
    <mergeCell ref="F7:L7"/>
    <mergeCell ref="A9:A10"/>
    <mergeCell ref="B9:B10"/>
    <mergeCell ref="A48:L48"/>
    <mergeCell ref="J51:L51"/>
    <mergeCell ref="A49:L49"/>
    <mergeCell ref="C9:G9"/>
    <mergeCell ref="H9:L9"/>
    <mergeCell ref="I8:L8"/>
    <mergeCell ref="A50:L50"/>
    <mergeCell ref="L1:AO1"/>
    <mergeCell ref="A3:L3"/>
    <mergeCell ref="A2:L2"/>
    <mergeCell ref="A5:L5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view="pageBreakPreview" zoomScale="120" zoomScaleSheetLayoutView="120" workbookViewId="0">
      <selection activeCell="C8" sqref="C8"/>
    </sheetView>
  </sheetViews>
  <sheetFormatPr defaultRowHeight="12.75"/>
  <cols>
    <col min="1" max="1" width="8.7109375" customWidth="1"/>
    <col min="2" max="2" width="11.7109375" customWidth="1"/>
    <col min="3" max="3" width="114.5703125" customWidth="1"/>
  </cols>
  <sheetData>
    <row r="1" spans="1:7" ht="21.75" customHeight="1">
      <c r="A1" s="818" t="s">
        <v>558</v>
      </c>
      <c r="B1" s="818"/>
      <c r="C1" s="818"/>
      <c r="D1" s="818"/>
      <c r="E1" s="326"/>
      <c r="F1" s="326"/>
      <c r="G1" s="326"/>
    </row>
    <row r="2" spans="1:7">
      <c r="A2" s="3" t="s">
        <v>77</v>
      </c>
      <c r="B2" s="3" t="s">
        <v>559</v>
      </c>
      <c r="C2" s="3" t="s">
        <v>560</v>
      </c>
    </row>
    <row r="3" spans="1:7">
      <c r="A3" s="8">
        <v>1</v>
      </c>
      <c r="B3" s="327" t="s">
        <v>561</v>
      </c>
      <c r="C3" s="327" t="s">
        <v>720</v>
      </c>
    </row>
    <row r="4" spans="1:7">
      <c r="A4" s="8">
        <v>2</v>
      </c>
      <c r="B4" s="327" t="s">
        <v>562</v>
      </c>
      <c r="C4" s="327" t="s">
        <v>721</v>
      </c>
    </row>
    <row r="5" spans="1:7">
      <c r="A5" s="8">
        <v>3</v>
      </c>
      <c r="B5" s="327" t="s">
        <v>563</v>
      </c>
      <c r="C5" s="327" t="s">
        <v>846</v>
      </c>
    </row>
    <row r="6" spans="1:7" s="317" customFormat="1">
      <c r="A6" s="483">
        <v>4</v>
      </c>
      <c r="B6" s="809" t="s">
        <v>564</v>
      </c>
      <c r="C6" s="809" t="s">
        <v>722</v>
      </c>
    </row>
    <row r="7" spans="1:7" s="317" customFormat="1">
      <c r="A7" s="483">
        <v>5</v>
      </c>
      <c r="B7" s="809" t="s">
        <v>565</v>
      </c>
      <c r="C7" s="809" t="s">
        <v>723</v>
      </c>
    </row>
    <row r="8" spans="1:7" s="317" customFormat="1">
      <c r="A8" s="483">
        <v>6</v>
      </c>
      <c r="B8" s="809" t="s">
        <v>566</v>
      </c>
      <c r="C8" s="809" t="s">
        <v>724</v>
      </c>
    </row>
    <row r="9" spans="1:7" s="317" customFormat="1">
      <c r="A9" s="483">
        <v>7</v>
      </c>
      <c r="B9" s="809" t="s">
        <v>567</v>
      </c>
      <c r="C9" s="809" t="s">
        <v>725</v>
      </c>
    </row>
    <row r="10" spans="1:7">
      <c r="A10" s="8">
        <v>8</v>
      </c>
      <c r="B10" s="327" t="s">
        <v>568</v>
      </c>
      <c r="C10" s="327" t="s">
        <v>726</v>
      </c>
    </row>
    <row r="11" spans="1:7">
      <c r="A11" s="8">
        <v>9</v>
      </c>
      <c r="B11" s="327" t="s">
        <v>569</v>
      </c>
      <c r="C11" s="327" t="s">
        <v>849</v>
      </c>
    </row>
    <row r="12" spans="1:7">
      <c r="A12" s="8">
        <v>10</v>
      </c>
      <c r="B12" s="327" t="s">
        <v>688</v>
      </c>
      <c r="C12" s="327" t="s">
        <v>689</v>
      </c>
    </row>
    <row r="13" spans="1:7">
      <c r="A13" s="8">
        <v>11</v>
      </c>
      <c r="B13" s="327" t="s">
        <v>570</v>
      </c>
      <c r="C13" s="327" t="s">
        <v>727</v>
      </c>
    </row>
    <row r="14" spans="1:7">
      <c r="A14" s="8">
        <v>12</v>
      </c>
      <c r="B14" s="327" t="s">
        <v>571</v>
      </c>
      <c r="C14" s="327" t="s">
        <v>728</v>
      </c>
    </row>
    <row r="15" spans="1:7">
      <c r="A15" s="8">
        <v>13</v>
      </c>
      <c r="B15" s="327" t="s">
        <v>572</v>
      </c>
      <c r="C15" s="327" t="s">
        <v>729</v>
      </c>
    </row>
    <row r="16" spans="1:7">
      <c r="A16" s="8">
        <v>14</v>
      </c>
      <c r="B16" s="327" t="s">
        <v>573</v>
      </c>
      <c r="C16" s="327" t="s">
        <v>730</v>
      </c>
    </row>
    <row r="17" spans="1:3">
      <c r="A17" s="8">
        <v>15</v>
      </c>
      <c r="B17" s="327" t="s">
        <v>574</v>
      </c>
      <c r="C17" s="327" t="s">
        <v>731</v>
      </c>
    </row>
    <row r="18" spans="1:3">
      <c r="A18" s="8">
        <v>16</v>
      </c>
      <c r="B18" s="327" t="s">
        <v>575</v>
      </c>
      <c r="C18" s="327" t="s">
        <v>732</v>
      </c>
    </row>
    <row r="19" spans="1:3">
      <c r="A19" s="8">
        <v>17</v>
      </c>
      <c r="B19" s="327" t="s">
        <v>576</v>
      </c>
      <c r="C19" s="327" t="s">
        <v>733</v>
      </c>
    </row>
    <row r="20" spans="1:3">
      <c r="A20" s="8">
        <v>18</v>
      </c>
      <c r="B20" s="327" t="s">
        <v>577</v>
      </c>
      <c r="C20" s="327" t="s">
        <v>734</v>
      </c>
    </row>
    <row r="21" spans="1:3">
      <c r="A21" s="8">
        <v>19</v>
      </c>
      <c r="B21" s="327" t="s">
        <v>578</v>
      </c>
      <c r="C21" s="327" t="s">
        <v>735</v>
      </c>
    </row>
    <row r="22" spans="1:3">
      <c r="A22" s="8">
        <v>20</v>
      </c>
      <c r="B22" s="327" t="s">
        <v>579</v>
      </c>
      <c r="C22" s="327" t="s">
        <v>736</v>
      </c>
    </row>
    <row r="23" spans="1:3">
      <c r="A23" s="8">
        <v>21</v>
      </c>
      <c r="B23" s="327" t="s">
        <v>580</v>
      </c>
      <c r="C23" s="327" t="s">
        <v>850</v>
      </c>
    </row>
    <row r="24" spans="1:3">
      <c r="A24" s="8">
        <v>22</v>
      </c>
      <c r="B24" s="327" t="s">
        <v>581</v>
      </c>
      <c r="C24" s="327" t="s">
        <v>862</v>
      </c>
    </row>
    <row r="25" spans="1:3">
      <c r="A25" s="8">
        <v>23</v>
      </c>
      <c r="B25" s="327" t="s">
        <v>582</v>
      </c>
      <c r="C25" s="327" t="s">
        <v>863</v>
      </c>
    </row>
    <row r="26" spans="1:3">
      <c r="A26" s="8">
        <v>24</v>
      </c>
      <c r="B26" s="327" t="s">
        <v>583</v>
      </c>
      <c r="C26" s="327" t="s">
        <v>737</v>
      </c>
    </row>
    <row r="27" spans="1:3">
      <c r="A27" s="8">
        <v>25</v>
      </c>
      <c r="B27" s="327" t="s">
        <v>584</v>
      </c>
      <c r="C27" s="327" t="s">
        <v>738</v>
      </c>
    </row>
    <row r="28" spans="1:3">
      <c r="A28" s="8">
        <v>26</v>
      </c>
      <c r="B28" s="327" t="s">
        <v>585</v>
      </c>
      <c r="C28" s="327" t="s">
        <v>739</v>
      </c>
    </row>
    <row r="29" spans="1:3">
      <c r="A29" s="8">
        <v>27</v>
      </c>
      <c r="B29" s="327" t="s">
        <v>586</v>
      </c>
      <c r="C29" s="327" t="s">
        <v>587</v>
      </c>
    </row>
    <row r="30" spans="1:3">
      <c r="A30" s="8">
        <v>28</v>
      </c>
      <c r="B30" s="327" t="s">
        <v>588</v>
      </c>
      <c r="C30" s="327" t="s">
        <v>589</v>
      </c>
    </row>
    <row r="31" spans="1:3">
      <c r="A31" s="8">
        <v>29</v>
      </c>
      <c r="B31" s="327" t="s">
        <v>590</v>
      </c>
      <c r="C31" s="327" t="s">
        <v>591</v>
      </c>
    </row>
    <row r="32" spans="1:3">
      <c r="A32" s="8">
        <v>30</v>
      </c>
      <c r="B32" s="327" t="s">
        <v>687</v>
      </c>
      <c r="C32" s="327" t="s">
        <v>686</v>
      </c>
    </row>
    <row r="33" spans="1:3">
      <c r="A33" s="8">
        <v>31</v>
      </c>
      <c r="B33" s="375" t="s">
        <v>886</v>
      </c>
      <c r="C33" s="375" t="s">
        <v>887</v>
      </c>
    </row>
    <row r="34" spans="1:3">
      <c r="A34" s="8">
        <v>32</v>
      </c>
      <c r="B34" s="327" t="s">
        <v>592</v>
      </c>
      <c r="C34" s="327" t="s">
        <v>593</v>
      </c>
    </row>
    <row r="35" spans="1:3">
      <c r="A35" s="8">
        <v>33</v>
      </c>
      <c r="B35" s="327" t="s">
        <v>594</v>
      </c>
      <c r="C35" s="327" t="s">
        <v>593</v>
      </c>
    </row>
    <row r="36" spans="1:3">
      <c r="A36" s="8">
        <v>34</v>
      </c>
      <c r="B36" s="327" t="s">
        <v>595</v>
      </c>
      <c r="C36" s="327" t="s">
        <v>596</v>
      </c>
    </row>
    <row r="37" spans="1:3">
      <c r="A37" s="8">
        <v>35</v>
      </c>
      <c r="B37" s="327" t="s">
        <v>597</v>
      </c>
      <c r="C37" s="327" t="s">
        <v>598</v>
      </c>
    </row>
    <row r="38" spans="1:3">
      <c r="A38" s="8">
        <v>36</v>
      </c>
      <c r="B38" s="327" t="s">
        <v>599</v>
      </c>
      <c r="C38" s="327" t="s">
        <v>600</v>
      </c>
    </row>
    <row r="39" spans="1:3">
      <c r="A39" s="8">
        <v>37</v>
      </c>
      <c r="B39" s="327" t="s">
        <v>601</v>
      </c>
      <c r="C39" s="327" t="s">
        <v>602</v>
      </c>
    </row>
    <row r="40" spans="1:3">
      <c r="A40" s="8">
        <v>38</v>
      </c>
      <c r="B40" s="327" t="s">
        <v>603</v>
      </c>
      <c r="C40" s="327" t="s">
        <v>604</v>
      </c>
    </row>
    <row r="41" spans="1:3">
      <c r="A41" s="8">
        <v>39</v>
      </c>
      <c r="B41" s="327" t="s">
        <v>605</v>
      </c>
      <c r="C41" s="327" t="s">
        <v>606</v>
      </c>
    </row>
    <row r="42" spans="1:3">
      <c r="A42" s="8">
        <v>40</v>
      </c>
      <c r="B42" s="327" t="s">
        <v>607</v>
      </c>
      <c r="C42" s="327" t="s">
        <v>608</v>
      </c>
    </row>
    <row r="43" spans="1:3">
      <c r="A43" s="8">
        <v>41</v>
      </c>
      <c r="B43" s="327" t="s">
        <v>609</v>
      </c>
      <c r="C43" s="327" t="s">
        <v>740</v>
      </c>
    </row>
    <row r="44" spans="1:3">
      <c r="A44" s="8">
        <v>42</v>
      </c>
      <c r="B44" s="327" t="s">
        <v>610</v>
      </c>
      <c r="C44" s="327" t="s">
        <v>611</v>
      </c>
    </row>
    <row r="45" spans="1:3">
      <c r="A45" s="8">
        <v>43</v>
      </c>
      <c r="B45" s="327" t="s">
        <v>612</v>
      </c>
      <c r="C45" s="327" t="s">
        <v>613</v>
      </c>
    </row>
    <row r="46" spans="1:3">
      <c r="A46" s="8">
        <v>44</v>
      </c>
      <c r="B46" s="327" t="s">
        <v>614</v>
      </c>
      <c r="C46" s="327" t="s">
        <v>615</v>
      </c>
    </row>
    <row r="47" spans="1:3">
      <c r="A47" s="8">
        <v>45</v>
      </c>
      <c r="B47" s="327" t="s">
        <v>616</v>
      </c>
      <c r="C47" s="327" t="s">
        <v>617</v>
      </c>
    </row>
    <row r="48" spans="1:3">
      <c r="A48" s="8">
        <v>46</v>
      </c>
      <c r="B48" s="327" t="s">
        <v>618</v>
      </c>
      <c r="C48" s="327" t="s">
        <v>619</v>
      </c>
    </row>
    <row r="49" spans="1:3">
      <c r="A49" s="8">
        <v>47</v>
      </c>
      <c r="B49" s="327" t="s">
        <v>620</v>
      </c>
      <c r="C49" s="327" t="s">
        <v>741</v>
      </c>
    </row>
    <row r="50" spans="1:3">
      <c r="A50" s="8">
        <v>48</v>
      </c>
      <c r="B50" s="327" t="s">
        <v>621</v>
      </c>
      <c r="C50" s="327" t="s">
        <v>742</v>
      </c>
    </row>
    <row r="51" spans="1:3">
      <c r="A51" s="8">
        <v>49</v>
      </c>
      <c r="B51" s="327" t="s">
        <v>622</v>
      </c>
      <c r="C51" s="327" t="s">
        <v>623</v>
      </c>
    </row>
    <row r="52" spans="1:3">
      <c r="A52" s="8">
        <v>50</v>
      </c>
      <c r="B52" s="327" t="s">
        <v>624</v>
      </c>
      <c r="C52" s="327" t="s">
        <v>625</v>
      </c>
    </row>
    <row r="53" spans="1:3" s="317" customFormat="1" ht="18" customHeight="1">
      <c r="A53" s="483">
        <v>51</v>
      </c>
      <c r="B53" s="809" t="s">
        <v>626</v>
      </c>
      <c r="C53" s="809" t="s">
        <v>694</v>
      </c>
    </row>
    <row r="54" spans="1:3" s="317" customFormat="1">
      <c r="A54" s="483">
        <v>52</v>
      </c>
      <c r="B54" s="809" t="s">
        <v>627</v>
      </c>
      <c r="C54" s="809" t="s">
        <v>695</v>
      </c>
    </row>
    <row r="55" spans="1:3">
      <c r="A55" s="8">
        <v>53</v>
      </c>
      <c r="B55" s="327" t="s">
        <v>628</v>
      </c>
      <c r="C55" s="327" t="s">
        <v>696</v>
      </c>
    </row>
    <row r="56" spans="1:3">
      <c r="A56" s="8">
        <v>54</v>
      </c>
      <c r="B56" s="327" t="s">
        <v>629</v>
      </c>
      <c r="C56" s="327" t="s">
        <v>697</v>
      </c>
    </row>
    <row r="57" spans="1:3">
      <c r="A57" s="8">
        <v>55</v>
      </c>
      <c r="B57" s="327" t="s">
        <v>630</v>
      </c>
      <c r="C57" s="327" t="s">
        <v>698</v>
      </c>
    </row>
    <row r="58" spans="1:3">
      <c r="A58" s="8">
        <v>56</v>
      </c>
      <c r="B58" s="327" t="s">
        <v>631</v>
      </c>
      <c r="C58" s="327" t="s">
        <v>699</v>
      </c>
    </row>
    <row r="59" spans="1:3">
      <c r="A59" s="8">
        <v>57</v>
      </c>
      <c r="B59" s="327" t="s">
        <v>632</v>
      </c>
      <c r="C59" s="327" t="s">
        <v>700</v>
      </c>
    </row>
    <row r="60" spans="1:3">
      <c r="A60" s="8">
        <v>58</v>
      </c>
      <c r="B60" s="327" t="s">
        <v>633</v>
      </c>
      <c r="C60" s="327" t="s">
        <v>701</v>
      </c>
    </row>
    <row r="61" spans="1:3">
      <c r="A61" s="8">
        <v>59</v>
      </c>
      <c r="B61" s="327" t="s">
        <v>634</v>
      </c>
      <c r="C61" s="327" t="s">
        <v>702</v>
      </c>
    </row>
    <row r="62" spans="1:3">
      <c r="A62" s="8">
        <v>60</v>
      </c>
      <c r="B62" s="327" t="s">
        <v>835</v>
      </c>
      <c r="C62" s="327" t="s">
        <v>842</v>
      </c>
    </row>
    <row r="63" spans="1:3">
      <c r="A63" s="8">
        <v>61</v>
      </c>
      <c r="B63" s="327" t="s">
        <v>635</v>
      </c>
      <c r="C63" s="327" t="s">
        <v>844</v>
      </c>
    </row>
    <row r="64" spans="1:3">
      <c r="A64" s="8">
        <v>62</v>
      </c>
      <c r="B64" s="357" t="s">
        <v>843</v>
      </c>
      <c r="C64" s="327" t="s">
        <v>836</v>
      </c>
    </row>
    <row r="65" spans="1:3">
      <c r="A65" s="8">
        <v>63</v>
      </c>
      <c r="B65" s="327" t="s">
        <v>636</v>
      </c>
      <c r="C65" s="327" t="s">
        <v>703</v>
      </c>
    </row>
    <row r="66" spans="1:3">
      <c r="A66" s="8">
        <v>64</v>
      </c>
      <c r="B66" s="327" t="s">
        <v>637</v>
      </c>
      <c r="C66" s="327" t="s">
        <v>704</v>
      </c>
    </row>
    <row r="67" spans="1:3">
      <c r="A67" s="8">
        <v>65</v>
      </c>
      <c r="B67" s="350" t="s">
        <v>690</v>
      </c>
      <c r="C67" s="350" t="s">
        <v>743</v>
      </c>
    </row>
    <row r="68" spans="1:3">
      <c r="A68" s="8">
        <v>66</v>
      </c>
      <c r="B68" s="350" t="s">
        <v>691</v>
      </c>
      <c r="C68" s="350" t="s">
        <v>731</v>
      </c>
    </row>
  </sheetData>
  <mergeCells count="1">
    <mergeCell ref="A1:D1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P54"/>
  <sheetViews>
    <sheetView view="pageBreakPreview" topLeftCell="A30" zoomScale="90" zoomScaleSheetLayoutView="90" workbookViewId="0">
      <selection activeCell="A54" sqref="A54:L54"/>
    </sheetView>
  </sheetViews>
  <sheetFormatPr defaultRowHeight="12.75"/>
  <cols>
    <col min="1" max="1" width="6" style="15" customWidth="1"/>
    <col min="2" max="2" width="13.85546875" style="15" customWidth="1"/>
    <col min="3" max="3" width="10.5703125" style="15" customWidth="1"/>
    <col min="4" max="4" width="9.85546875" style="15" customWidth="1"/>
    <col min="5" max="5" width="11.4257812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10.85546875" style="15" customWidth="1"/>
    <col min="11" max="11" width="12" style="15" customWidth="1"/>
    <col min="12" max="12" width="13.7109375" style="15" customWidth="1"/>
    <col min="13" max="13" width="9.140625" style="15" hidden="1" customWidth="1"/>
    <col min="14" max="15" width="9.140625" style="654" customWidth="1"/>
    <col min="16" max="17" width="9.140625" style="509" customWidth="1"/>
    <col min="18" max="18" width="9.140625" style="622" customWidth="1"/>
    <col min="19" max="22" width="9.140625" style="509" customWidth="1"/>
    <col min="23" max="23" width="10.42578125" style="15" bestFit="1" customWidth="1"/>
    <col min="24" max="24" width="10.42578125" style="509" customWidth="1"/>
    <col min="25" max="16384" width="9.140625" style="15"/>
  </cols>
  <sheetData>
    <row r="1" spans="1:38" customFormat="1" ht="15">
      <c r="D1" s="36"/>
      <c r="E1" s="36"/>
      <c r="F1" s="36"/>
      <c r="G1" s="36"/>
      <c r="H1" s="36"/>
      <c r="I1" s="36"/>
      <c r="J1" s="36"/>
      <c r="K1" s="36"/>
      <c r="L1" s="946" t="s">
        <v>75</v>
      </c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43"/>
      <c r="X1" s="43"/>
      <c r="Y1" s="43"/>
    </row>
    <row r="2" spans="1:38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38" customFormat="1" ht="20.25">
      <c r="A3" s="948" t="s">
        <v>705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38" customFormat="1" ht="10.5" customHeight="1"/>
    <row r="5" spans="1:38" ht="19.5" customHeight="1">
      <c r="A5" s="933" t="s">
        <v>760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</row>
    <row r="6" spans="1:38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38">
      <c r="A7" s="850" t="s">
        <v>922</v>
      </c>
      <c r="B7" s="850"/>
      <c r="F7" s="947" t="s">
        <v>21</v>
      </c>
      <c r="G7" s="947"/>
      <c r="H7" s="947"/>
      <c r="I7" s="947"/>
      <c r="J7" s="947"/>
      <c r="K7" s="947"/>
      <c r="L7" s="947"/>
    </row>
    <row r="8" spans="1:38">
      <c r="A8" s="14"/>
      <c r="F8" s="16"/>
      <c r="G8" s="107"/>
      <c r="H8" s="107"/>
      <c r="I8" s="922" t="s">
        <v>785</v>
      </c>
      <c r="J8" s="922"/>
      <c r="K8" s="922"/>
      <c r="L8" s="922"/>
    </row>
    <row r="9" spans="1:38" s="14" customFormat="1">
      <c r="A9" s="844" t="s">
        <v>2</v>
      </c>
      <c r="B9" s="844" t="s">
        <v>3</v>
      </c>
      <c r="C9" s="829" t="s">
        <v>22</v>
      </c>
      <c r="D9" s="855"/>
      <c r="E9" s="855"/>
      <c r="F9" s="855"/>
      <c r="G9" s="855"/>
      <c r="H9" s="829" t="s">
        <v>45</v>
      </c>
      <c r="I9" s="855"/>
      <c r="J9" s="855"/>
      <c r="K9" s="855"/>
      <c r="L9" s="855"/>
      <c r="AA9" s="30"/>
      <c r="AB9" s="31"/>
    </row>
    <row r="10" spans="1:38" s="14" customFormat="1" ht="77.45" customHeight="1">
      <c r="A10" s="844"/>
      <c r="B10" s="844"/>
      <c r="C10" s="5" t="s">
        <v>759</v>
      </c>
      <c r="D10" s="5" t="s">
        <v>792</v>
      </c>
      <c r="E10" s="5" t="s">
        <v>73</v>
      </c>
      <c r="F10" s="5" t="s">
        <v>74</v>
      </c>
      <c r="G10" s="5" t="s">
        <v>667</v>
      </c>
      <c r="H10" s="5" t="s">
        <v>759</v>
      </c>
      <c r="I10" s="5" t="s">
        <v>792</v>
      </c>
      <c r="J10" s="5" t="s">
        <v>73</v>
      </c>
      <c r="K10" s="5" t="s">
        <v>74</v>
      </c>
      <c r="L10" s="5" t="s">
        <v>668</v>
      </c>
    </row>
    <row r="11" spans="1:38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38" ht="14.25">
      <c r="A12" s="421">
        <v>1</v>
      </c>
      <c r="B12" s="385" t="s">
        <v>889</v>
      </c>
      <c r="C12" s="429">
        <v>666.76103999999987</v>
      </c>
      <c r="D12" s="434">
        <v>32.524999999999977</v>
      </c>
      <c r="E12" s="440">
        <v>552.16</v>
      </c>
      <c r="F12" s="429">
        <v>580.7041200000001</v>
      </c>
      <c r="G12" s="558">
        <f>D12+E12-F12</f>
        <v>3.9808799999998428</v>
      </c>
      <c r="H12" s="428">
        <v>1555.77576</v>
      </c>
      <c r="I12" s="435">
        <v>19.766000000000076</v>
      </c>
      <c r="J12" s="441">
        <v>1378.3109999999999</v>
      </c>
      <c r="K12" s="428">
        <v>1354.9762799999999</v>
      </c>
      <c r="L12" s="558">
        <f>I12+J12-K12</f>
        <v>43.100720000000138</v>
      </c>
      <c r="N12" s="654">
        <f>'T5A_PLAN_vs_PRFM '!H12*150/1000000</f>
        <v>1935.6804</v>
      </c>
      <c r="O12" s="654">
        <f>N12-Q12</f>
        <v>0</v>
      </c>
      <c r="P12" s="509">
        <v>1935.6804</v>
      </c>
      <c r="Q12" s="509">
        <v>1935.6804</v>
      </c>
      <c r="R12" s="622">
        <f>P12-Q12</f>
        <v>0</v>
      </c>
      <c r="S12" s="509">
        <v>1354.9762799999999</v>
      </c>
      <c r="U12" s="537">
        <f>I12+J12-S12</f>
        <v>43.100720000000138</v>
      </c>
      <c r="W12" s="537">
        <f>P12-S12</f>
        <v>580.7041200000001</v>
      </c>
      <c r="X12" s="537"/>
      <c r="Y12" s="537">
        <f>D12+E12-W12</f>
        <v>3.9808799999998428</v>
      </c>
      <c r="Z12" s="464">
        <f>F12+K12</f>
        <v>1935.6804</v>
      </c>
      <c r="AA12" s="453">
        <f>Z12*1000000/100/232</f>
        <v>83434.5</v>
      </c>
      <c r="AC12" s="15">
        <v>1935.6804</v>
      </c>
      <c r="AD12" s="464">
        <f>F12+K12</f>
        <v>1935.6804</v>
      </c>
      <c r="AE12" s="464">
        <f>AC12-AD12</f>
        <v>0</v>
      </c>
      <c r="AG12" s="15">
        <v>1935.6804</v>
      </c>
      <c r="AH12" s="464">
        <f>F12+K12</f>
        <v>1935.6804</v>
      </c>
      <c r="AI12" s="464">
        <f>AG12-AH12</f>
        <v>0</v>
      </c>
    </row>
    <row r="13" spans="1:38" ht="14.25">
      <c r="A13" s="421">
        <v>2</v>
      </c>
      <c r="B13" s="385" t="s">
        <v>890</v>
      </c>
      <c r="C13" s="524">
        <v>879.26724000000013</v>
      </c>
      <c r="D13" s="299">
        <v>18.322000000000003</v>
      </c>
      <c r="E13" s="557">
        <v>756.5</v>
      </c>
      <c r="F13" s="429">
        <v>767.32672000000002</v>
      </c>
      <c r="G13" s="558">
        <f t="shared" ref="G13:G44" si="0">D13+E13-F13</f>
        <v>7.4952799999999797</v>
      </c>
      <c r="H13" s="428">
        <v>2051.6235599999995</v>
      </c>
      <c r="I13" s="435">
        <v>40.757999999999811</v>
      </c>
      <c r="J13" s="441">
        <v>1925.5900000000001</v>
      </c>
      <c r="K13" s="428">
        <v>1957.0956799999999</v>
      </c>
      <c r="L13" s="558">
        <f t="shared" ref="L13:L44" si="1">I13+J13-K13</f>
        <v>9.2523200000000543</v>
      </c>
      <c r="N13" s="654">
        <f>'T5A_PLAN_vs_PRFM '!H13*150/1000000</f>
        <v>2724.4223999999999</v>
      </c>
      <c r="O13" s="654">
        <f t="shared" ref="O13:O45" si="2">N13-Q13</f>
        <v>0</v>
      </c>
      <c r="P13" s="509">
        <v>2724.4223999999999</v>
      </c>
      <c r="Q13" s="509">
        <v>2724.4223999999999</v>
      </c>
      <c r="R13" s="622">
        <f t="shared" ref="R13:R45" si="3">P13-Q13</f>
        <v>0</v>
      </c>
      <c r="S13" s="509">
        <v>1957.0956799999999</v>
      </c>
      <c r="U13" s="537">
        <f t="shared" ref="U13:U44" si="4">I13+J13-S13</f>
        <v>9.2523200000000543</v>
      </c>
      <c r="W13" s="537">
        <f t="shared" ref="W13:W45" si="5">P13-S13</f>
        <v>767.32672000000002</v>
      </c>
      <c r="X13" s="537"/>
      <c r="Y13" s="537">
        <f t="shared" ref="Y13:Y45" si="6">D13+E13-W13</f>
        <v>7.4952799999999797</v>
      </c>
      <c r="Z13" s="464">
        <f t="shared" ref="Z13:Z45" si="7">F13+K13</f>
        <v>2724.4223999999999</v>
      </c>
      <c r="AA13" s="453">
        <f t="shared" ref="AA13:AA44" si="8">Z13*1000000/100/232</f>
        <v>117432</v>
      </c>
      <c r="AC13" s="15">
        <v>2724.4223999999999</v>
      </c>
      <c r="AD13" s="464">
        <f t="shared" ref="AD13:AD44" si="9">F13+K13</f>
        <v>2724.4223999999999</v>
      </c>
      <c r="AE13" s="464">
        <f t="shared" ref="AE13:AE44" si="10">AC13-AD13</f>
        <v>0</v>
      </c>
      <c r="AG13" s="15">
        <v>2724.4223999999999</v>
      </c>
      <c r="AH13" s="464">
        <f t="shared" ref="AH13:AH44" si="11">F13+K13</f>
        <v>2724.4223999999999</v>
      </c>
      <c r="AI13" s="464">
        <f t="shared" ref="AI13:AI44" si="12">AG13-AH13</f>
        <v>0</v>
      </c>
    </row>
    <row r="14" spans="1:38" ht="14.25">
      <c r="A14" s="421">
        <v>3</v>
      </c>
      <c r="B14" s="385" t="s">
        <v>891</v>
      </c>
      <c r="C14" s="429">
        <v>737.96183999999994</v>
      </c>
      <c r="D14" s="434">
        <v>19.158999999999992</v>
      </c>
      <c r="E14" s="440">
        <v>496.66999999999996</v>
      </c>
      <c r="F14" s="429">
        <v>463.95360000000005</v>
      </c>
      <c r="G14" s="558">
        <f t="shared" si="0"/>
        <v>51.8753999999999</v>
      </c>
      <c r="H14" s="428">
        <v>1721.9109599999997</v>
      </c>
      <c r="I14" s="435">
        <v>51.396999999999935</v>
      </c>
      <c r="J14" s="441">
        <v>1065.8899999999999</v>
      </c>
      <c r="K14" s="428">
        <v>1082.5583999999999</v>
      </c>
      <c r="L14" s="558">
        <f t="shared" si="1"/>
        <v>34.728599999999915</v>
      </c>
      <c r="N14" s="654">
        <f>'T5A_PLAN_vs_PRFM '!H14*150/1000000</f>
        <v>3025.5120000000002</v>
      </c>
      <c r="P14" s="509">
        <v>1546.5119999999999</v>
      </c>
      <c r="Q14" s="509">
        <v>2138.1120000000001</v>
      </c>
      <c r="R14" s="622">
        <f t="shared" si="3"/>
        <v>-591.60000000000014</v>
      </c>
      <c r="S14" s="509">
        <v>1082.5583999999999</v>
      </c>
      <c r="U14" s="537">
        <f t="shared" si="4"/>
        <v>34.728599999999915</v>
      </c>
      <c r="W14" s="537">
        <f t="shared" si="5"/>
        <v>463.95360000000005</v>
      </c>
      <c r="X14" s="537"/>
      <c r="Y14" s="537">
        <f t="shared" si="6"/>
        <v>51.8753999999999</v>
      </c>
      <c r="Z14" s="464">
        <f t="shared" si="7"/>
        <v>1546.5119999999999</v>
      </c>
      <c r="AA14" s="453">
        <f t="shared" si="8"/>
        <v>66660</v>
      </c>
      <c r="AC14" s="15">
        <v>2138.1120000000001</v>
      </c>
      <c r="AD14" s="464">
        <f t="shared" si="9"/>
        <v>1546.5119999999999</v>
      </c>
      <c r="AE14" s="464">
        <f t="shared" si="10"/>
        <v>591.60000000000014</v>
      </c>
      <c r="AG14" s="15">
        <v>2138.1120000000001</v>
      </c>
      <c r="AH14" s="464">
        <f t="shared" si="11"/>
        <v>1546.5119999999999</v>
      </c>
      <c r="AI14" s="464">
        <f t="shared" si="12"/>
        <v>591.60000000000014</v>
      </c>
      <c r="AJ14" s="15">
        <f>AI14*1000000/232/100</f>
        <v>25500.000000000004</v>
      </c>
    </row>
    <row r="15" spans="1:38" ht="14.25">
      <c r="A15" s="421">
        <v>4</v>
      </c>
      <c r="B15" s="385" t="s">
        <v>892</v>
      </c>
      <c r="C15" s="429">
        <v>286.20216000000005</v>
      </c>
      <c r="D15" s="434">
        <v>1.9450000000000001</v>
      </c>
      <c r="E15" s="440">
        <v>511.73</v>
      </c>
      <c r="F15" s="429">
        <v>210</v>
      </c>
      <c r="G15" s="558">
        <f t="shared" si="0"/>
        <v>303.67500000000007</v>
      </c>
      <c r="H15" s="428">
        <v>667.80503999999985</v>
      </c>
      <c r="I15" s="435">
        <v>245.47699999999986</v>
      </c>
      <c r="J15" s="441">
        <v>1400.481</v>
      </c>
      <c r="K15" s="428">
        <v>912.2</v>
      </c>
      <c r="L15" s="558">
        <f t="shared" si="1"/>
        <v>733.75799999999981</v>
      </c>
      <c r="N15" s="654">
        <f>'T5A_PLAN_vs_PRFM '!H15*150/1000000</f>
        <v>1123.0308</v>
      </c>
      <c r="O15" s="654">
        <f t="shared" si="2"/>
        <v>0</v>
      </c>
      <c r="P15" s="509">
        <v>2167.0308</v>
      </c>
      <c r="Q15" s="509">
        <v>1123.0308</v>
      </c>
      <c r="R15" s="622">
        <f t="shared" si="3"/>
        <v>1044</v>
      </c>
      <c r="S15" s="509">
        <v>1643.92156</v>
      </c>
      <c r="U15" s="537">
        <f t="shared" si="4"/>
        <v>2.0364399999998568</v>
      </c>
      <c r="W15" s="537">
        <f t="shared" si="5"/>
        <v>523.10924</v>
      </c>
      <c r="X15" s="537"/>
      <c r="Y15" s="537">
        <f t="shared" si="6"/>
        <v>-9.4342399999999316</v>
      </c>
      <c r="Z15" s="464">
        <f t="shared" si="7"/>
        <v>1122.2</v>
      </c>
      <c r="AA15" s="453">
        <f t="shared" si="8"/>
        <v>48370.689655172413</v>
      </c>
      <c r="AC15" s="15">
        <v>1123.0308</v>
      </c>
      <c r="AD15" s="464">
        <f t="shared" si="9"/>
        <v>1122.2</v>
      </c>
      <c r="AE15" s="464">
        <f t="shared" si="10"/>
        <v>0.8307999999999538</v>
      </c>
      <c r="AG15" s="15">
        <v>1123.0308</v>
      </c>
      <c r="AH15" s="464">
        <f t="shared" si="11"/>
        <v>1122.2</v>
      </c>
      <c r="AI15" s="464">
        <f t="shared" si="12"/>
        <v>0.8307999999999538</v>
      </c>
      <c r="AJ15" s="464">
        <f>AH15-AG15</f>
        <v>-0.8307999999999538</v>
      </c>
      <c r="AK15" s="15">
        <f>AJ15*70/100</f>
        <v>-0.58155999999996766</v>
      </c>
      <c r="AL15" s="464">
        <f>AJ15-AK15</f>
        <v>-0.24923999999998614</v>
      </c>
    </row>
    <row r="16" spans="1:38" ht="14.25">
      <c r="A16" s="421">
        <v>5</v>
      </c>
      <c r="B16" s="385" t="s">
        <v>893</v>
      </c>
      <c r="C16" s="429">
        <v>1260.0802799999999</v>
      </c>
      <c r="D16" s="434">
        <v>26.579999999999927</v>
      </c>
      <c r="E16" s="440">
        <v>1044.52</v>
      </c>
      <c r="F16" s="429">
        <v>1062.6802000000002</v>
      </c>
      <c r="G16" s="558">
        <f t="shared" si="0"/>
        <v>8.4197999999996682</v>
      </c>
      <c r="H16" s="428">
        <v>2940.18732</v>
      </c>
      <c r="I16" s="435">
        <v>100.33500000000004</v>
      </c>
      <c r="J16" s="441">
        <v>2476.6500000000005</v>
      </c>
      <c r="K16" s="428">
        <v>2546.2538</v>
      </c>
      <c r="L16" s="558">
        <f t="shared" si="1"/>
        <v>30.731200000000626</v>
      </c>
      <c r="N16" s="654">
        <f>'T5A_PLAN_vs_PRFM '!H16*150/1000000</f>
        <v>3608.9340000000002</v>
      </c>
      <c r="O16" s="654">
        <f t="shared" si="2"/>
        <v>0</v>
      </c>
      <c r="P16" s="509">
        <v>3608.9340000000002</v>
      </c>
      <c r="Q16" s="509">
        <v>3608.9340000000002</v>
      </c>
      <c r="R16" s="622">
        <f t="shared" si="3"/>
        <v>0</v>
      </c>
      <c r="S16" s="509">
        <v>2546.2538</v>
      </c>
      <c r="U16" s="537">
        <f t="shared" si="4"/>
        <v>30.731200000000626</v>
      </c>
      <c r="W16" s="537">
        <f t="shared" si="5"/>
        <v>1062.6802000000002</v>
      </c>
      <c r="X16" s="537"/>
      <c r="Y16" s="537">
        <f t="shared" si="6"/>
        <v>8.4197999999996682</v>
      </c>
      <c r="Z16" s="464">
        <f t="shared" si="7"/>
        <v>3608.9340000000002</v>
      </c>
      <c r="AA16" s="453">
        <f t="shared" si="8"/>
        <v>155557.5</v>
      </c>
      <c r="AC16" s="15">
        <v>3608.9340000000002</v>
      </c>
      <c r="AD16" s="464">
        <f t="shared" si="9"/>
        <v>3608.9340000000002</v>
      </c>
      <c r="AE16" s="464">
        <f t="shared" si="10"/>
        <v>0</v>
      </c>
      <c r="AG16" s="15">
        <v>3608.9340000000002</v>
      </c>
      <c r="AH16" s="464">
        <f t="shared" si="11"/>
        <v>3608.9340000000002</v>
      </c>
      <c r="AI16" s="464">
        <f t="shared" si="12"/>
        <v>0</v>
      </c>
    </row>
    <row r="17" spans="1:42" ht="14.25">
      <c r="A17" s="421">
        <v>6</v>
      </c>
      <c r="B17" s="385" t="s">
        <v>894</v>
      </c>
      <c r="C17" s="429">
        <v>581.41404000000011</v>
      </c>
      <c r="D17" s="434">
        <v>8.0060000000000002</v>
      </c>
      <c r="E17" s="440">
        <v>534.22</v>
      </c>
      <c r="F17" s="429">
        <v>538.67268000000013</v>
      </c>
      <c r="G17" s="558">
        <f t="shared" si="0"/>
        <v>3.5533199999998715</v>
      </c>
      <c r="H17" s="428">
        <v>1356.6327599999997</v>
      </c>
      <c r="I17" s="435">
        <v>59.68100000000004</v>
      </c>
      <c r="J17" s="441">
        <v>1209.5899999999999</v>
      </c>
      <c r="K17" s="428">
        <v>1256.9029199999998</v>
      </c>
      <c r="L17" s="558">
        <f t="shared" si="1"/>
        <v>12.368080000000191</v>
      </c>
      <c r="N17" s="654">
        <f>'T5A_PLAN_vs_PRFM '!H17*150/1000000</f>
        <v>1795.5755999999999</v>
      </c>
      <c r="O17" s="654">
        <f t="shared" si="2"/>
        <v>0</v>
      </c>
      <c r="P17" s="509">
        <v>1795.5755999999999</v>
      </c>
      <c r="Q17" s="509">
        <v>1795.5755999999999</v>
      </c>
      <c r="R17" s="622">
        <f t="shared" si="3"/>
        <v>0</v>
      </c>
      <c r="S17" s="509">
        <v>1256.9029199999998</v>
      </c>
      <c r="U17" s="537">
        <f t="shared" si="4"/>
        <v>12.368080000000191</v>
      </c>
      <c r="W17" s="537">
        <f t="shared" si="5"/>
        <v>538.67268000000013</v>
      </c>
      <c r="X17" s="537"/>
      <c r="Y17" s="537">
        <f t="shared" si="6"/>
        <v>3.5533199999998715</v>
      </c>
      <c r="Z17" s="464">
        <f t="shared" si="7"/>
        <v>1795.5755999999999</v>
      </c>
      <c r="AA17" s="453">
        <f t="shared" si="8"/>
        <v>77395.5</v>
      </c>
      <c r="AC17" s="15">
        <v>1795.5755999999999</v>
      </c>
      <c r="AD17" s="464">
        <f t="shared" si="9"/>
        <v>1795.5755999999999</v>
      </c>
      <c r="AE17" s="464">
        <f t="shared" si="10"/>
        <v>0</v>
      </c>
      <c r="AG17" s="15">
        <v>1795.5755999999999</v>
      </c>
      <c r="AH17" s="464">
        <f t="shared" si="11"/>
        <v>1795.5755999999999</v>
      </c>
      <c r="AI17" s="464">
        <f t="shared" si="12"/>
        <v>0</v>
      </c>
    </row>
    <row r="18" spans="1:42" ht="14.25">
      <c r="A18" s="421">
        <v>7</v>
      </c>
      <c r="B18" s="385" t="s">
        <v>895</v>
      </c>
      <c r="C18" s="429">
        <v>774.19511999999986</v>
      </c>
      <c r="D18" s="434">
        <v>19.995000000000005</v>
      </c>
      <c r="E18" s="440">
        <v>758.68</v>
      </c>
      <c r="F18" s="429">
        <v>764.0590000000002</v>
      </c>
      <c r="G18" s="558">
        <f t="shared" si="0"/>
        <v>14.615999999999758</v>
      </c>
      <c r="H18" s="428">
        <v>1806.4552799999999</v>
      </c>
      <c r="I18" s="435">
        <v>29.401999999999816</v>
      </c>
      <c r="J18" s="441">
        <v>1921.5300000000002</v>
      </c>
      <c r="K18" s="428">
        <v>1949.471</v>
      </c>
      <c r="L18" s="558">
        <f t="shared" si="1"/>
        <v>1.4610000000000127</v>
      </c>
      <c r="N18" s="654">
        <f>'T5A_PLAN_vs_PRFM '!H18*150/1000000</f>
        <v>2713.53</v>
      </c>
      <c r="O18" s="654">
        <f t="shared" si="2"/>
        <v>0</v>
      </c>
      <c r="P18" s="509">
        <v>2713.53</v>
      </c>
      <c r="Q18" s="509">
        <v>2713.53</v>
      </c>
      <c r="R18" s="622">
        <f t="shared" si="3"/>
        <v>0</v>
      </c>
      <c r="S18" s="509">
        <v>1949.471</v>
      </c>
      <c r="U18" s="537">
        <f t="shared" si="4"/>
        <v>1.4610000000000127</v>
      </c>
      <c r="W18" s="537">
        <f t="shared" si="5"/>
        <v>764.0590000000002</v>
      </c>
      <c r="X18" s="537"/>
      <c r="Y18" s="537">
        <f t="shared" si="6"/>
        <v>14.615999999999758</v>
      </c>
      <c r="Z18" s="464">
        <f t="shared" si="7"/>
        <v>2713.53</v>
      </c>
      <c r="AA18" s="453">
        <f t="shared" si="8"/>
        <v>116962.5</v>
      </c>
      <c r="AC18" s="15">
        <v>2713.53</v>
      </c>
      <c r="AD18" s="464">
        <f t="shared" si="9"/>
        <v>2713.53</v>
      </c>
      <c r="AE18" s="464">
        <f t="shared" si="10"/>
        <v>0</v>
      </c>
      <c r="AG18" s="15">
        <v>2713.53</v>
      </c>
      <c r="AH18" s="464">
        <f t="shared" si="11"/>
        <v>2713.53</v>
      </c>
      <c r="AI18" s="464">
        <f t="shared" si="12"/>
        <v>0</v>
      </c>
    </row>
    <row r="19" spans="1:42" ht="14.25">
      <c r="A19" s="421">
        <v>8</v>
      </c>
      <c r="B19" s="385" t="s">
        <v>896</v>
      </c>
      <c r="C19" s="429">
        <v>488.74175999999983</v>
      </c>
      <c r="D19" s="434">
        <v>10.826999999999998</v>
      </c>
      <c r="E19" s="440">
        <v>497.68</v>
      </c>
      <c r="F19" s="429">
        <v>480.27132000000006</v>
      </c>
      <c r="G19" s="558">
        <f t="shared" si="0"/>
        <v>28.235679999999945</v>
      </c>
      <c r="H19" s="428">
        <v>1140.39744</v>
      </c>
      <c r="I19" s="435">
        <v>9.0260000000002947</v>
      </c>
      <c r="J19" s="441">
        <v>1119</v>
      </c>
      <c r="K19" s="428">
        <v>1120.6330799999998</v>
      </c>
      <c r="L19" s="558">
        <f t="shared" si="1"/>
        <v>7.3929200000004585</v>
      </c>
      <c r="N19" s="654">
        <f>'T5A_PLAN_vs_PRFM '!H19*150/1000000</f>
        <v>1600.9043999999999</v>
      </c>
      <c r="O19" s="654">
        <f t="shared" si="2"/>
        <v>0</v>
      </c>
      <c r="P19" s="509">
        <v>1600.9043999999999</v>
      </c>
      <c r="Q19" s="509">
        <v>1600.9043999999999</v>
      </c>
      <c r="R19" s="622">
        <f t="shared" si="3"/>
        <v>0</v>
      </c>
      <c r="S19" s="509">
        <v>1120.6330799999998</v>
      </c>
      <c r="U19" s="537">
        <f t="shared" si="4"/>
        <v>7.3929200000004585</v>
      </c>
      <c r="W19" s="537">
        <f t="shared" si="5"/>
        <v>480.27132000000006</v>
      </c>
      <c r="X19" s="537"/>
      <c r="Y19" s="537">
        <f t="shared" si="6"/>
        <v>28.235679999999945</v>
      </c>
      <c r="Z19" s="464">
        <f t="shared" si="7"/>
        <v>1600.9043999999999</v>
      </c>
      <c r="AA19" s="453">
        <f t="shared" si="8"/>
        <v>69004.5</v>
      </c>
      <c r="AC19" s="15">
        <v>1600.9043999999999</v>
      </c>
      <c r="AD19" s="464">
        <f t="shared" si="9"/>
        <v>1600.9043999999999</v>
      </c>
      <c r="AE19" s="464">
        <f t="shared" si="10"/>
        <v>0</v>
      </c>
      <c r="AG19" s="15">
        <v>1600.9043999999999</v>
      </c>
      <c r="AH19" s="464">
        <f t="shared" si="11"/>
        <v>1600.9043999999999</v>
      </c>
      <c r="AI19" s="464">
        <f t="shared" si="12"/>
        <v>0</v>
      </c>
    </row>
    <row r="20" spans="1:42" ht="14.25">
      <c r="A20" s="421">
        <v>9</v>
      </c>
      <c r="B20" s="385" t="s">
        <v>897</v>
      </c>
      <c r="C20" s="429">
        <v>321.35364000000004</v>
      </c>
      <c r="D20" s="434">
        <v>26.33200000000005</v>
      </c>
      <c r="E20" s="440">
        <v>312.85000000000002</v>
      </c>
      <c r="F20" s="429">
        <v>327.48496000000011</v>
      </c>
      <c r="G20" s="558">
        <f t="shared" si="0"/>
        <v>11.697039999999959</v>
      </c>
      <c r="H20" s="428">
        <v>749.82515999999987</v>
      </c>
      <c r="I20" s="435">
        <v>17.504999999999995</v>
      </c>
      <c r="J20" s="441">
        <v>853.5</v>
      </c>
      <c r="K20" s="428">
        <v>830.79823999999996</v>
      </c>
      <c r="L20" s="558">
        <f t="shared" si="1"/>
        <v>40.206760000000031</v>
      </c>
      <c r="N20" s="654">
        <f>'T5A_PLAN_vs_PRFM '!H20*150/1000000</f>
        <v>1158.2832000000001</v>
      </c>
      <c r="O20" s="654">
        <f t="shared" si="2"/>
        <v>0</v>
      </c>
      <c r="P20" s="509">
        <v>1158.2832000000001</v>
      </c>
      <c r="Q20" s="509">
        <v>1158.2832000000001</v>
      </c>
      <c r="R20" s="622">
        <f t="shared" si="3"/>
        <v>0</v>
      </c>
      <c r="S20" s="509">
        <v>830.79823999999996</v>
      </c>
      <c r="U20" s="537">
        <f t="shared" si="4"/>
        <v>40.206760000000031</v>
      </c>
      <c r="W20" s="537">
        <f t="shared" si="5"/>
        <v>327.48496000000011</v>
      </c>
      <c r="X20" s="537"/>
      <c r="Y20" s="537">
        <f t="shared" si="6"/>
        <v>11.697039999999959</v>
      </c>
      <c r="Z20" s="464">
        <f t="shared" si="7"/>
        <v>1158.2832000000001</v>
      </c>
      <c r="AA20" s="453">
        <f t="shared" si="8"/>
        <v>49926</v>
      </c>
      <c r="AC20" s="15">
        <v>1158.2832000000001</v>
      </c>
      <c r="AD20" s="464">
        <f t="shared" si="9"/>
        <v>1158.2832000000001</v>
      </c>
      <c r="AE20" s="464">
        <f t="shared" si="10"/>
        <v>0</v>
      </c>
      <c r="AG20" s="15">
        <v>1158.2832000000001</v>
      </c>
      <c r="AH20" s="464">
        <f t="shared" si="11"/>
        <v>1158.2832000000001</v>
      </c>
      <c r="AI20" s="464">
        <f t="shared" si="12"/>
        <v>0</v>
      </c>
    </row>
    <row r="21" spans="1:42" ht="14.25">
      <c r="A21" s="421">
        <v>10</v>
      </c>
      <c r="B21" s="385" t="s">
        <v>898</v>
      </c>
      <c r="C21" s="429">
        <v>435.36887999999999</v>
      </c>
      <c r="D21" s="434">
        <v>25.65300000000002</v>
      </c>
      <c r="E21" s="440">
        <v>461.51</v>
      </c>
      <c r="F21" s="429">
        <v>479.66579999999999</v>
      </c>
      <c r="G21" s="558">
        <f t="shared" si="0"/>
        <v>7.4972000000000207</v>
      </c>
      <c r="H21" s="428">
        <v>1015.8607199999999</v>
      </c>
      <c r="I21" s="435">
        <v>70.956000000000017</v>
      </c>
      <c r="J21" s="441">
        <v>1071.3499999999999</v>
      </c>
      <c r="K21" s="428">
        <v>1119.2202</v>
      </c>
      <c r="L21" s="558">
        <f t="shared" si="1"/>
        <v>23.085800000000063</v>
      </c>
      <c r="N21" s="654">
        <f>'T5A_PLAN_vs_PRFM '!H21*150/1000000</f>
        <v>1598.886</v>
      </c>
      <c r="O21" s="654">
        <f t="shared" si="2"/>
        <v>0</v>
      </c>
      <c r="P21" s="509">
        <v>1598.886</v>
      </c>
      <c r="Q21" s="509">
        <v>1598.886</v>
      </c>
      <c r="R21" s="622">
        <f t="shared" si="3"/>
        <v>0</v>
      </c>
      <c r="S21" s="509">
        <v>1119.2202</v>
      </c>
      <c r="U21" s="537">
        <f t="shared" si="4"/>
        <v>23.085800000000063</v>
      </c>
      <c r="W21" s="537">
        <f t="shared" si="5"/>
        <v>479.66579999999999</v>
      </c>
      <c r="X21" s="537"/>
      <c r="Y21" s="537">
        <f t="shared" si="6"/>
        <v>7.4972000000000207</v>
      </c>
      <c r="Z21" s="464">
        <f t="shared" si="7"/>
        <v>1598.886</v>
      </c>
      <c r="AA21" s="453">
        <f t="shared" si="8"/>
        <v>68917.5</v>
      </c>
      <c r="AC21" s="15">
        <v>1598.886</v>
      </c>
      <c r="AD21" s="464">
        <f t="shared" si="9"/>
        <v>1598.886</v>
      </c>
      <c r="AE21" s="464">
        <f t="shared" si="10"/>
        <v>0</v>
      </c>
      <c r="AG21" s="15">
        <v>1598.886</v>
      </c>
      <c r="AH21" s="464">
        <f t="shared" si="11"/>
        <v>1598.886</v>
      </c>
      <c r="AI21" s="464">
        <f t="shared" si="12"/>
        <v>0</v>
      </c>
    </row>
    <row r="22" spans="1:42" ht="14.25">
      <c r="A22" s="421">
        <v>11</v>
      </c>
      <c r="B22" s="385" t="s">
        <v>899</v>
      </c>
      <c r="C22" s="429">
        <v>521.01071999999999</v>
      </c>
      <c r="D22" s="434">
        <v>28.577999999999999</v>
      </c>
      <c r="E22" s="440">
        <v>499.10999999999996</v>
      </c>
      <c r="F22" s="429">
        <v>517.00968000000012</v>
      </c>
      <c r="G22" s="558">
        <f t="shared" si="0"/>
        <v>10.678319999999871</v>
      </c>
      <c r="H22" s="428">
        <v>1215.6916799999999</v>
      </c>
      <c r="I22" s="435">
        <v>12.330999999999904</v>
      </c>
      <c r="J22" s="441">
        <v>1210.51</v>
      </c>
      <c r="K22" s="428">
        <v>1206.35592</v>
      </c>
      <c r="L22" s="558">
        <f t="shared" si="1"/>
        <v>16.485079999999925</v>
      </c>
      <c r="N22" s="654">
        <f>'T5A_PLAN_vs_PRFM '!H22*150/1000000</f>
        <v>1723.3656000000001</v>
      </c>
      <c r="O22" s="654">
        <f t="shared" si="2"/>
        <v>0</v>
      </c>
      <c r="P22" s="509">
        <v>1723.3656000000001</v>
      </c>
      <c r="Q22" s="509">
        <v>1723.3656000000001</v>
      </c>
      <c r="R22" s="622">
        <f t="shared" si="3"/>
        <v>0</v>
      </c>
      <c r="S22" s="509">
        <v>1206.35592</v>
      </c>
      <c r="U22" s="537">
        <f t="shared" si="4"/>
        <v>16.485079999999925</v>
      </c>
      <c r="W22" s="537">
        <f t="shared" si="5"/>
        <v>517.00968000000012</v>
      </c>
      <c r="X22" s="537"/>
      <c r="Y22" s="537">
        <f t="shared" si="6"/>
        <v>10.678319999999871</v>
      </c>
      <c r="Z22" s="464">
        <f t="shared" si="7"/>
        <v>1723.3656000000001</v>
      </c>
      <c r="AA22" s="453">
        <f t="shared" si="8"/>
        <v>74283</v>
      </c>
      <c r="AC22" s="15">
        <v>1723.3656000000001</v>
      </c>
      <c r="AD22" s="464">
        <f t="shared" si="9"/>
        <v>1723.3656000000001</v>
      </c>
      <c r="AE22" s="464">
        <f t="shared" si="10"/>
        <v>0</v>
      </c>
      <c r="AG22" s="15">
        <v>1723.3656000000001</v>
      </c>
      <c r="AH22" s="464">
        <f t="shared" si="11"/>
        <v>1723.3656000000001</v>
      </c>
      <c r="AI22" s="464">
        <f t="shared" si="12"/>
        <v>0</v>
      </c>
    </row>
    <row r="23" spans="1:42" ht="14.25">
      <c r="A23" s="421">
        <v>12</v>
      </c>
      <c r="B23" s="385" t="s">
        <v>900</v>
      </c>
      <c r="C23" s="429">
        <v>402.57683999999995</v>
      </c>
      <c r="D23" s="434">
        <v>40.975999999999942</v>
      </c>
      <c r="E23" s="440">
        <v>435.99</v>
      </c>
      <c r="F23" s="429">
        <v>475.44504000000006</v>
      </c>
      <c r="G23" s="558">
        <f t="shared" si="0"/>
        <v>1.5209599999998886</v>
      </c>
      <c r="H23" s="428">
        <v>939.34595999999988</v>
      </c>
      <c r="I23" s="435">
        <v>33.256000000000085</v>
      </c>
      <c r="J23" s="441">
        <v>1058.6500000000001</v>
      </c>
      <c r="K23" s="428">
        <v>1089.37176</v>
      </c>
      <c r="L23" s="558">
        <f t="shared" si="1"/>
        <v>2.5342400000001817</v>
      </c>
      <c r="N23" s="654">
        <f>'T5A_PLAN_vs_PRFM '!H23*150/1000000</f>
        <v>1564.8168000000001</v>
      </c>
      <c r="O23" s="654">
        <f t="shared" si="2"/>
        <v>0</v>
      </c>
      <c r="P23" s="509">
        <v>1564.8168000000001</v>
      </c>
      <c r="Q23" s="509">
        <v>1564.8168000000001</v>
      </c>
      <c r="R23" s="622">
        <f t="shared" si="3"/>
        <v>0</v>
      </c>
      <c r="S23" s="509">
        <v>1089.37176</v>
      </c>
      <c r="U23" s="537">
        <f t="shared" si="4"/>
        <v>2.5342400000001817</v>
      </c>
      <c r="W23" s="537">
        <f t="shared" si="5"/>
        <v>475.44504000000006</v>
      </c>
      <c r="X23" s="537"/>
      <c r="Y23" s="537">
        <f t="shared" si="6"/>
        <v>1.5209599999998886</v>
      </c>
      <c r="Z23" s="464">
        <f t="shared" si="7"/>
        <v>1564.8168000000001</v>
      </c>
      <c r="AA23" s="453">
        <f t="shared" si="8"/>
        <v>67449</v>
      </c>
      <c r="AC23" s="15">
        <v>1564.8168000000001</v>
      </c>
      <c r="AD23" s="464">
        <f t="shared" si="9"/>
        <v>1564.8168000000001</v>
      </c>
      <c r="AE23" s="464">
        <f t="shared" si="10"/>
        <v>0</v>
      </c>
      <c r="AG23" s="15">
        <v>1564.8168000000001</v>
      </c>
      <c r="AH23" s="464">
        <f t="shared" si="11"/>
        <v>1564.8168000000001</v>
      </c>
      <c r="AI23" s="464">
        <f t="shared" si="12"/>
        <v>0</v>
      </c>
    </row>
    <row r="24" spans="1:42" ht="14.25">
      <c r="A24" s="421">
        <v>13</v>
      </c>
      <c r="B24" s="385" t="s">
        <v>901</v>
      </c>
      <c r="C24" s="429">
        <v>384.91236000000004</v>
      </c>
      <c r="D24" s="434">
        <v>10.579000000000008</v>
      </c>
      <c r="E24" s="440">
        <v>265.86599999999999</v>
      </c>
      <c r="F24" s="429">
        <v>257.58612000000005</v>
      </c>
      <c r="G24" s="558">
        <f t="shared" si="0"/>
        <v>18.858879999999942</v>
      </c>
      <c r="H24" s="428">
        <v>898.12883999999985</v>
      </c>
      <c r="I24" s="435">
        <v>33.629999999999882</v>
      </c>
      <c r="J24" s="441">
        <v>604.30200000000002</v>
      </c>
      <c r="K24" s="428">
        <v>601.03427999999997</v>
      </c>
      <c r="L24" s="558">
        <f t="shared" si="1"/>
        <v>36.897719999999936</v>
      </c>
      <c r="N24" s="654">
        <f>'T5A_PLAN_vs_PRFM '!H24*150/1000000</f>
        <v>858.62040000000002</v>
      </c>
      <c r="O24" s="654">
        <f t="shared" si="2"/>
        <v>0</v>
      </c>
      <c r="P24" s="509">
        <v>858.62040000000002</v>
      </c>
      <c r="Q24" s="509">
        <v>858.62040000000002</v>
      </c>
      <c r="R24" s="622">
        <f t="shared" si="3"/>
        <v>0</v>
      </c>
      <c r="S24" s="509">
        <v>601.03427999999997</v>
      </c>
      <c r="U24" s="537">
        <f t="shared" si="4"/>
        <v>36.897719999999936</v>
      </c>
      <c r="W24" s="537">
        <f t="shared" si="5"/>
        <v>257.58612000000005</v>
      </c>
      <c r="X24" s="537"/>
      <c r="Y24" s="537">
        <f t="shared" si="6"/>
        <v>18.858879999999942</v>
      </c>
      <c r="Z24" s="464">
        <f t="shared" si="7"/>
        <v>858.62040000000002</v>
      </c>
      <c r="AA24" s="453">
        <f t="shared" si="8"/>
        <v>37009.5</v>
      </c>
      <c r="AC24" s="15">
        <v>858.62040000000002</v>
      </c>
      <c r="AD24" s="464">
        <f t="shared" si="9"/>
        <v>858.62040000000002</v>
      </c>
      <c r="AE24" s="464">
        <f t="shared" si="10"/>
        <v>0</v>
      </c>
      <c r="AG24" s="15">
        <v>858.62040000000002</v>
      </c>
      <c r="AH24" s="464">
        <f t="shared" si="11"/>
        <v>858.62040000000002</v>
      </c>
      <c r="AI24" s="464">
        <f t="shared" si="12"/>
        <v>0</v>
      </c>
    </row>
    <row r="25" spans="1:42" ht="14.25">
      <c r="A25" s="421">
        <v>14</v>
      </c>
      <c r="B25" s="385" t="s">
        <v>902</v>
      </c>
      <c r="C25" s="429">
        <v>604.54691999999977</v>
      </c>
      <c r="D25" s="434">
        <v>14.475999999999999</v>
      </c>
      <c r="E25" s="440">
        <v>580.63</v>
      </c>
      <c r="F25" s="429">
        <v>587.58275999999978</v>
      </c>
      <c r="G25" s="558">
        <f t="shared" si="0"/>
        <v>7.5232400000002144</v>
      </c>
      <c r="H25" s="428">
        <v>1410.6094800000001</v>
      </c>
      <c r="I25" s="435">
        <v>24.528000000000247</v>
      </c>
      <c r="J25" s="441">
        <v>1549.1599999999999</v>
      </c>
      <c r="K25" s="428">
        <v>1571.0264400000001</v>
      </c>
      <c r="L25" s="558">
        <f t="shared" si="1"/>
        <v>2.6615600000000086</v>
      </c>
      <c r="N25" s="654">
        <f>'T5A_PLAN_vs_PRFM '!H25*150/1000000</f>
        <v>2158.6091999999999</v>
      </c>
      <c r="O25" s="654">
        <f t="shared" si="2"/>
        <v>0</v>
      </c>
      <c r="P25" s="509">
        <v>2158.6091999999999</v>
      </c>
      <c r="Q25" s="509">
        <v>2158.6091999999999</v>
      </c>
      <c r="R25" s="622">
        <f t="shared" si="3"/>
        <v>0</v>
      </c>
      <c r="S25" s="509">
        <v>1571.0264400000001</v>
      </c>
      <c r="U25" s="537">
        <f t="shared" si="4"/>
        <v>2.6615600000000086</v>
      </c>
      <c r="W25" s="537">
        <f t="shared" si="5"/>
        <v>587.58275999999978</v>
      </c>
      <c r="X25" s="537"/>
      <c r="Y25" s="537">
        <f t="shared" si="6"/>
        <v>7.5232400000002144</v>
      </c>
      <c r="Z25" s="464">
        <f t="shared" si="7"/>
        <v>2158.6091999999999</v>
      </c>
      <c r="AA25" s="453">
        <f t="shared" si="8"/>
        <v>93043.5</v>
      </c>
      <c r="AC25" s="15">
        <v>2158.6091999999999</v>
      </c>
      <c r="AD25" s="464">
        <f t="shared" si="9"/>
        <v>2158.6091999999999</v>
      </c>
      <c r="AE25" s="464">
        <f t="shared" si="10"/>
        <v>0</v>
      </c>
      <c r="AG25" s="15">
        <v>2158.6091999999999</v>
      </c>
      <c r="AH25" s="464">
        <f t="shared" si="11"/>
        <v>2158.6091999999999</v>
      </c>
      <c r="AI25" s="464">
        <f t="shared" si="12"/>
        <v>0</v>
      </c>
    </row>
    <row r="26" spans="1:42" s="422" customFormat="1" ht="14.25">
      <c r="A26" s="421">
        <v>15</v>
      </c>
      <c r="B26" s="385" t="s">
        <v>903</v>
      </c>
      <c r="C26" s="524">
        <v>425.44583999999986</v>
      </c>
      <c r="D26" s="299">
        <v>20.771000000000072</v>
      </c>
      <c r="E26" s="557">
        <v>428.22</v>
      </c>
      <c r="F26" s="429">
        <v>289.33</v>
      </c>
      <c r="G26" s="558">
        <f t="shared" si="0"/>
        <v>159.66100000000012</v>
      </c>
      <c r="H26" s="428">
        <v>992.70695999999998</v>
      </c>
      <c r="I26" s="435">
        <v>25.846000000000004</v>
      </c>
      <c r="J26" s="441">
        <v>1002.99</v>
      </c>
      <c r="K26" s="428">
        <v>828.1</v>
      </c>
      <c r="L26" s="558">
        <f t="shared" si="1"/>
        <v>200.73599999999999</v>
      </c>
      <c r="N26" s="654">
        <f>'T5A_PLAN_vs_PRFM '!H26*150/1000000</f>
        <v>1117.4280000000001</v>
      </c>
      <c r="O26" s="654">
        <f t="shared" si="2"/>
        <v>0</v>
      </c>
      <c r="P26" s="509">
        <v>1117.4280000000001</v>
      </c>
      <c r="Q26" s="509">
        <v>1117.4280000000001</v>
      </c>
      <c r="R26" s="622">
        <f t="shared" si="3"/>
        <v>0</v>
      </c>
      <c r="S26" s="509">
        <v>782.19960000000003</v>
      </c>
      <c r="T26" s="509"/>
      <c r="U26" s="537">
        <v>828.1</v>
      </c>
      <c r="V26" s="509"/>
      <c r="W26" s="537">
        <f t="shared" si="5"/>
        <v>335.22840000000008</v>
      </c>
      <c r="X26" s="537"/>
      <c r="Y26" s="537">
        <f t="shared" si="6"/>
        <v>113.76260000000002</v>
      </c>
      <c r="Z26" s="464">
        <f t="shared" si="7"/>
        <v>1117.43</v>
      </c>
      <c r="AA26" s="453">
        <f t="shared" si="8"/>
        <v>48165.086206896551</v>
      </c>
      <c r="AC26" s="422">
        <v>1117.4280000000001</v>
      </c>
      <c r="AD26" s="464">
        <f t="shared" si="9"/>
        <v>1117.43</v>
      </c>
      <c r="AE26" s="464">
        <f t="shared" si="10"/>
        <v>-1.9999999999527063E-3</v>
      </c>
      <c r="AG26" s="422">
        <v>1117.4280000000001</v>
      </c>
      <c r="AH26" s="464">
        <f t="shared" si="11"/>
        <v>1117.43</v>
      </c>
      <c r="AI26" s="464">
        <f t="shared" si="12"/>
        <v>-1.9999999999527063E-3</v>
      </c>
      <c r="AJ26" s="654">
        <f>153*70/100</f>
        <v>107.1</v>
      </c>
      <c r="AK26" s="422">
        <f>AL26-AJ26</f>
        <v>45.900000000000006</v>
      </c>
      <c r="AL26" s="422">
        <v>153</v>
      </c>
    </row>
    <row r="27" spans="1:42" s="422" customFormat="1" ht="14.25">
      <c r="A27" s="421">
        <v>16</v>
      </c>
      <c r="B27" s="385" t="s">
        <v>904</v>
      </c>
      <c r="C27" s="524">
        <v>361.73303999999996</v>
      </c>
      <c r="D27" s="299">
        <v>143.72999999999999</v>
      </c>
      <c r="E27" s="557">
        <v>398.29</v>
      </c>
      <c r="F27" s="429">
        <v>532.02</v>
      </c>
      <c r="G27" s="558">
        <f t="shared" si="0"/>
        <v>10</v>
      </c>
      <c r="H27" s="428">
        <v>844.04376000000002</v>
      </c>
      <c r="I27" s="435">
        <v>178.49</v>
      </c>
      <c r="J27" s="441">
        <v>940.85199999999998</v>
      </c>
      <c r="K27" s="428">
        <v>1118.23</v>
      </c>
      <c r="L27" s="558">
        <f t="shared" si="1"/>
        <v>1.11200000000008</v>
      </c>
      <c r="N27" s="654">
        <f>'T5A_PLAN_vs_PRFM '!H27*150/1000000</f>
        <v>1650.2508</v>
      </c>
      <c r="O27" s="654">
        <f t="shared" si="2"/>
        <v>0</v>
      </c>
      <c r="P27" s="509">
        <v>1650.2508</v>
      </c>
      <c r="Q27" s="509">
        <v>1650.2508</v>
      </c>
      <c r="R27" s="622">
        <f t="shared" si="3"/>
        <v>0</v>
      </c>
      <c r="S27" s="509">
        <v>1105.1755599999999</v>
      </c>
      <c r="T27" s="509"/>
      <c r="U27" s="537">
        <f t="shared" si="4"/>
        <v>14.166440000000193</v>
      </c>
      <c r="V27" s="509"/>
      <c r="W27" s="537">
        <f t="shared" si="5"/>
        <v>545.07524000000012</v>
      </c>
      <c r="X27" s="537"/>
      <c r="Y27" s="537">
        <f t="shared" si="6"/>
        <v>-3.0552400000001398</v>
      </c>
      <c r="Z27" s="464">
        <f t="shared" si="7"/>
        <v>1650.25</v>
      </c>
      <c r="AA27" s="453">
        <f t="shared" si="8"/>
        <v>71131.465517241377</v>
      </c>
      <c r="AC27" s="422">
        <v>1650.2508</v>
      </c>
      <c r="AD27" s="464">
        <f t="shared" si="9"/>
        <v>1650.25</v>
      </c>
      <c r="AE27" s="464">
        <f t="shared" si="10"/>
        <v>8.0000000002655725E-4</v>
      </c>
      <c r="AG27" s="422">
        <v>1650.2508</v>
      </c>
      <c r="AH27" s="464">
        <f t="shared" si="11"/>
        <v>1650.25</v>
      </c>
      <c r="AI27" s="464">
        <f t="shared" si="12"/>
        <v>8.0000000002655725E-4</v>
      </c>
      <c r="AJ27" s="422">
        <f>AI27*1000000/150/232</f>
        <v>2.2988505747889576E-2</v>
      </c>
      <c r="AK27" s="422">
        <f>AI27*70/100</f>
        <v>5.6000000001859012E-4</v>
      </c>
      <c r="AL27" s="464">
        <f>AI27-AK27</f>
        <v>2.4000000000796713E-4</v>
      </c>
      <c r="AM27" s="422">
        <f>AG27*70/100</f>
        <v>1155.1755599999999</v>
      </c>
      <c r="AN27" s="422">
        <f>AG27-AM27</f>
        <v>495.07524000000012</v>
      </c>
      <c r="AO27" s="422">
        <v>449.07</v>
      </c>
      <c r="AP27" s="422">
        <f>AG27-AO27</f>
        <v>1201.1808000000001</v>
      </c>
    </row>
    <row r="28" spans="1:42" s="422" customFormat="1" ht="14.25">
      <c r="A28" s="421">
        <v>17</v>
      </c>
      <c r="B28" s="385" t="s">
        <v>905</v>
      </c>
      <c r="C28" s="429">
        <v>855.85500000000002</v>
      </c>
      <c r="D28" s="434">
        <v>22.01</v>
      </c>
      <c r="E28" s="440">
        <v>799.3</v>
      </c>
      <c r="F28" s="429">
        <v>812.55647999999997</v>
      </c>
      <c r="G28" s="558">
        <f t="shared" si="0"/>
        <v>8.7535199999999804</v>
      </c>
      <c r="H28" s="428">
        <v>1996.9949999999997</v>
      </c>
      <c r="I28" s="435">
        <v>26.624000000000024</v>
      </c>
      <c r="J28" s="441">
        <v>2006.57</v>
      </c>
      <c r="K28" s="428">
        <v>2005.9651200000001</v>
      </c>
      <c r="L28" s="558">
        <f t="shared" si="1"/>
        <v>27.22887999999989</v>
      </c>
      <c r="N28" s="654">
        <f>'T5A_PLAN_vs_PRFM '!H28*150/1000000</f>
        <v>2818.5216</v>
      </c>
      <c r="O28" s="654">
        <f t="shared" si="2"/>
        <v>0</v>
      </c>
      <c r="P28" s="509">
        <v>2818.5216</v>
      </c>
      <c r="Q28" s="509">
        <v>2818.5216</v>
      </c>
      <c r="R28" s="622">
        <f t="shared" si="3"/>
        <v>0</v>
      </c>
      <c r="S28" s="509">
        <v>2005.9651200000001</v>
      </c>
      <c r="T28" s="509"/>
      <c r="U28" s="537">
        <f t="shared" si="4"/>
        <v>27.22887999999989</v>
      </c>
      <c r="V28" s="509"/>
      <c r="W28" s="537">
        <f t="shared" si="5"/>
        <v>812.55647999999997</v>
      </c>
      <c r="X28" s="537"/>
      <c r="Y28" s="537">
        <f t="shared" si="6"/>
        <v>8.7535199999999804</v>
      </c>
      <c r="Z28" s="464">
        <f t="shared" si="7"/>
        <v>2818.5216</v>
      </c>
      <c r="AA28" s="453">
        <f t="shared" si="8"/>
        <v>121488</v>
      </c>
      <c r="AC28" s="422">
        <v>2818.5216</v>
      </c>
      <c r="AD28" s="464">
        <f t="shared" si="9"/>
        <v>2818.5216</v>
      </c>
      <c r="AE28" s="464">
        <f t="shared" si="10"/>
        <v>0</v>
      </c>
      <c r="AG28" s="422">
        <v>2818.5216</v>
      </c>
      <c r="AH28" s="464">
        <f t="shared" si="11"/>
        <v>2818.5216</v>
      </c>
      <c r="AI28" s="464">
        <f t="shared" si="12"/>
        <v>0</v>
      </c>
    </row>
    <row r="29" spans="1:42" s="422" customFormat="1" ht="14.25">
      <c r="A29" s="421">
        <v>18</v>
      </c>
      <c r="B29" s="385" t="s">
        <v>906</v>
      </c>
      <c r="C29" s="429">
        <v>258.41304000000002</v>
      </c>
      <c r="D29" s="434">
        <v>41.387999999999998</v>
      </c>
      <c r="E29" s="440">
        <v>267.66200000000003</v>
      </c>
      <c r="F29" s="429">
        <v>251.12</v>
      </c>
      <c r="G29" s="558">
        <f t="shared" si="0"/>
        <v>57.930000000000007</v>
      </c>
      <c r="H29" s="428">
        <v>602.96375999999998</v>
      </c>
      <c r="I29" s="435">
        <v>170.352</v>
      </c>
      <c r="J29" s="556">
        <v>471.61599999999999</v>
      </c>
      <c r="K29" s="428">
        <v>585.96</v>
      </c>
      <c r="L29" s="558">
        <f t="shared" si="1"/>
        <v>56.007999999999925</v>
      </c>
      <c r="N29" s="654">
        <f>'T5A_PLAN_vs_PRFM '!H29*150/1000000</f>
        <v>837.07920000000001</v>
      </c>
      <c r="O29" s="654">
        <f t="shared" si="2"/>
        <v>0</v>
      </c>
      <c r="P29" s="509">
        <v>1080.6792</v>
      </c>
      <c r="Q29" s="509">
        <v>837.07920000000001</v>
      </c>
      <c r="R29" s="622">
        <f t="shared" si="3"/>
        <v>243.60000000000002</v>
      </c>
      <c r="S29" s="509">
        <v>756.47544000000005</v>
      </c>
      <c r="T29" s="509"/>
      <c r="U29" s="537">
        <f t="shared" si="4"/>
        <v>-114.50744000000009</v>
      </c>
      <c r="V29" s="509"/>
      <c r="W29" s="537">
        <f t="shared" si="5"/>
        <v>324.20375999999999</v>
      </c>
      <c r="X29" s="537"/>
      <c r="Y29" s="537">
        <f t="shared" si="6"/>
        <v>-15.153759999999977</v>
      </c>
      <c r="Z29" s="464">
        <f t="shared" si="7"/>
        <v>837.08</v>
      </c>
      <c r="AA29" s="453">
        <f t="shared" si="8"/>
        <v>36081.034482758623</v>
      </c>
      <c r="AC29" s="422">
        <v>837.07920000000001</v>
      </c>
      <c r="AD29" s="464">
        <f t="shared" si="9"/>
        <v>837.08</v>
      </c>
      <c r="AE29" s="464">
        <f t="shared" si="10"/>
        <v>-8.0000000002655725E-4</v>
      </c>
      <c r="AG29" s="422">
        <v>837.07920000000001</v>
      </c>
      <c r="AH29" s="464">
        <f t="shared" si="11"/>
        <v>837.08</v>
      </c>
      <c r="AI29" s="464">
        <f t="shared" si="12"/>
        <v>-8.0000000002655725E-4</v>
      </c>
      <c r="AJ29" s="422">
        <f>AI29*70/100</f>
        <v>-5.6000000001859012E-4</v>
      </c>
      <c r="AK29" s="464">
        <f>AI29-AJ29</f>
        <v>-2.4000000000796713E-4</v>
      </c>
    </row>
    <row r="30" spans="1:42" s="422" customFormat="1" ht="14.25">
      <c r="A30" s="421">
        <v>19</v>
      </c>
      <c r="B30" s="385" t="s">
        <v>907</v>
      </c>
      <c r="C30" s="429">
        <v>538.90236000000004</v>
      </c>
      <c r="D30" s="434">
        <v>33.956000000000003</v>
      </c>
      <c r="E30" s="440">
        <v>478.59</v>
      </c>
      <c r="F30" s="429">
        <v>470.5934400000001</v>
      </c>
      <c r="G30" s="558">
        <f t="shared" si="0"/>
        <v>41.952559999999835</v>
      </c>
      <c r="H30" s="428">
        <v>1257.4388399999998</v>
      </c>
      <c r="I30" s="435">
        <v>39.889999999999873</v>
      </c>
      <c r="J30" s="441">
        <v>1060.08</v>
      </c>
      <c r="K30" s="428">
        <v>1098.0513599999999</v>
      </c>
      <c r="L30" s="558">
        <f t="shared" si="1"/>
        <v>1.9186399999998685</v>
      </c>
      <c r="N30" s="654">
        <f>'T5A_PLAN_vs_PRFM '!H30*150/1000000</f>
        <v>1568.6448</v>
      </c>
      <c r="O30" s="654">
        <f t="shared" si="2"/>
        <v>0</v>
      </c>
      <c r="P30" s="509">
        <v>1568.6448</v>
      </c>
      <c r="Q30" s="509">
        <v>1568.6448</v>
      </c>
      <c r="R30" s="622">
        <f t="shared" si="3"/>
        <v>0</v>
      </c>
      <c r="S30" s="509">
        <v>1098.0513599999999</v>
      </c>
      <c r="T30" s="509"/>
      <c r="U30" s="537">
        <f t="shared" si="4"/>
        <v>1.9186399999998685</v>
      </c>
      <c r="V30" s="509"/>
      <c r="W30" s="537">
        <f t="shared" si="5"/>
        <v>470.5934400000001</v>
      </c>
      <c r="X30" s="537"/>
      <c r="Y30" s="537">
        <f t="shared" si="6"/>
        <v>41.952559999999835</v>
      </c>
      <c r="Z30" s="464">
        <f t="shared" si="7"/>
        <v>1568.6448</v>
      </c>
      <c r="AA30" s="453">
        <f t="shared" si="8"/>
        <v>67614</v>
      </c>
      <c r="AC30" s="422">
        <v>1568.6448</v>
      </c>
      <c r="AD30" s="464">
        <f t="shared" si="9"/>
        <v>1568.6448</v>
      </c>
      <c r="AE30" s="464">
        <f t="shared" si="10"/>
        <v>0</v>
      </c>
      <c r="AG30" s="422">
        <v>1568.6448</v>
      </c>
      <c r="AH30" s="464">
        <f t="shared" si="11"/>
        <v>1568.6448</v>
      </c>
      <c r="AI30" s="464">
        <f t="shared" si="12"/>
        <v>0</v>
      </c>
    </row>
    <row r="31" spans="1:42" s="422" customFormat="1" ht="14.25">
      <c r="A31" s="421">
        <v>20</v>
      </c>
      <c r="B31" s="385" t="s">
        <v>908</v>
      </c>
      <c r="C31" s="429">
        <v>406.7632799999999</v>
      </c>
      <c r="D31" s="434">
        <v>61.425999999999988</v>
      </c>
      <c r="E31" s="440">
        <v>373.89</v>
      </c>
      <c r="F31" s="429">
        <v>422.12052000000006</v>
      </c>
      <c r="G31" s="558">
        <f t="shared" si="0"/>
        <v>13.195479999999918</v>
      </c>
      <c r="H31" s="428">
        <v>949.11431999999991</v>
      </c>
      <c r="I31" s="435">
        <v>103.49399999999991</v>
      </c>
      <c r="J31" s="441">
        <v>893.08999999999992</v>
      </c>
      <c r="K31" s="428">
        <v>984.94788000000005</v>
      </c>
      <c r="L31" s="558">
        <f t="shared" si="1"/>
        <v>11.636119999999778</v>
      </c>
      <c r="N31" s="654">
        <f>'T5A_PLAN_vs_PRFM '!H31*150/1000000</f>
        <v>1407.0684000000001</v>
      </c>
      <c r="O31" s="654">
        <f t="shared" si="2"/>
        <v>0</v>
      </c>
      <c r="P31" s="509">
        <v>1407.0684000000001</v>
      </c>
      <c r="Q31" s="509">
        <v>1407.0684000000001</v>
      </c>
      <c r="R31" s="622">
        <f t="shared" si="3"/>
        <v>0</v>
      </c>
      <c r="S31" s="509">
        <v>984.94788000000005</v>
      </c>
      <c r="T31" s="509"/>
      <c r="U31" s="537">
        <f t="shared" si="4"/>
        <v>11.636119999999778</v>
      </c>
      <c r="V31" s="509"/>
      <c r="W31" s="537">
        <f t="shared" si="5"/>
        <v>422.12052000000006</v>
      </c>
      <c r="X31" s="537"/>
      <c r="Y31" s="537">
        <f t="shared" si="6"/>
        <v>13.195479999999918</v>
      </c>
      <c r="Z31" s="464">
        <f t="shared" si="7"/>
        <v>1407.0684000000001</v>
      </c>
      <c r="AA31" s="453">
        <f t="shared" si="8"/>
        <v>60649.5</v>
      </c>
      <c r="AC31" s="422">
        <v>1407.0684000000001</v>
      </c>
      <c r="AD31" s="464">
        <f t="shared" si="9"/>
        <v>1407.0684000000001</v>
      </c>
      <c r="AE31" s="464">
        <f t="shared" si="10"/>
        <v>0</v>
      </c>
      <c r="AG31" s="422">
        <v>1407.0684000000001</v>
      </c>
      <c r="AH31" s="464">
        <f t="shared" si="11"/>
        <v>1407.0684000000001</v>
      </c>
      <c r="AI31" s="464">
        <f t="shared" si="12"/>
        <v>0</v>
      </c>
    </row>
    <row r="32" spans="1:42" s="422" customFormat="1" ht="14.25">
      <c r="A32" s="421">
        <v>21</v>
      </c>
      <c r="B32" s="385" t="s">
        <v>909</v>
      </c>
      <c r="C32" s="524">
        <v>339.69600000000003</v>
      </c>
      <c r="D32" s="299">
        <v>11.978000000000009</v>
      </c>
      <c r="E32" s="557">
        <v>342.19</v>
      </c>
      <c r="F32" s="429">
        <v>337.70267999999999</v>
      </c>
      <c r="G32" s="558">
        <f t="shared" si="0"/>
        <v>16.46532000000002</v>
      </c>
      <c r="H32" s="428">
        <v>792.6239999999998</v>
      </c>
      <c r="I32" s="435">
        <v>27.989000000000033</v>
      </c>
      <c r="J32" s="441">
        <v>809.48</v>
      </c>
      <c r="K32" s="428">
        <v>787.97292000000004</v>
      </c>
      <c r="L32" s="558">
        <f t="shared" si="1"/>
        <v>49.496080000000006</v>
      </c>
      <c r="N32" s="654">
        <f>'T5A_PLAN_vs_PRFM '!H32*150/1000000</f>
        <v>1125.6756</v>
      </c>
      <c r="O32" s="654">
        <f t="shared" si="2"/>
        <v>0</v>
      </c>
      <c r="P32" s="509">
        <v>1125.6756</v>
      </c>
      <c r="Q32" s="509">
        <v>1125.6756</v>
      </c>
      <c r="R32" s="622">
        <f t="shared" si="3"/>
        <v>0</v>
      </c>
      <c r="S32" s="509">
        <v>787.97292000000004</v>
      </c>
      <c r="T32" s="509"/>
      <c r="U32" s="537">
        <f t="shared" si="4"/>
        <v>49.496080000000006</v>
      </c>
      <c r="V32" s="509"/>
      <c r="W32" s="537">
        <f t="shared" si="5"/>
        <v>337.70267999999999</v>
      </c>
      <c r="X32" s="537"/>
      <c r="Y32" s="537">
        <f t="shared" si="6"/>
        <v>16.46532000000002</v>
      </c>
      <c r="Z32" s="464">
        <f t="shared" si="7"/>
        <v>1125.6756</v>
      </c>
      <c r="AA32" s="453">
        <f t="shared" si="8"/>
        <v>48520.5</v>
      </c>
      <c r="AC32" s="422">
        <v>1125.6756</v>
      </c>
      <c r="AD32" s="464">
        <f t="shared" si="9"/>
        <v>1125.6756</v>
      </c>
      <c r="AE32" s="464">
        <f t="shared" si="10"/>
        <v>0</v>
      </c>
      <c r="AG32" s="422">
        <v>1125.6756</v>
      </c>
      <c r="AH32" s="464">
        <f t="shared" si="11"/>
        <v>1125.6756</v>
      </c>
      <c r="AI32" s="464">
        <f t="shared" si="12"/>
        <v>0</v>
      </c>
    </row>
    <row r="33" spans="1:36" s="422" customFormat="1" ht="14.25">
      <c r="A33" s="421">
        <v>22</v>
      </c>
      <c r="B33" s="385" t="s">
        <v>910</v>
      </c>
      <c r="C33" s="429">
        <v>774.47447999999974</v>
      </c>
      <c r="D33" s="434">
        <v>90.444999999999993</v>
      </c>
      <c r="E33" s="440">
        <v>699.29000000000008</v>
      </c>
      <c r="F33" s="429">
        <v>786.92067999999995</v>
      </c>
      <c r="G33" s="558">
        <f t="shared" si="0"/>
        <v>2.8143200000001798</v>
      </c>
      <c r="H33" s="428">
        <v>1807.1071200000001</v>
      </c>
      <c r="I33" s="435">
        <v>134.62599999999998</v>
      </c>
      <c r="J33" s="441">
        <v>1437.62</v>
      </c>
      <c r="K33" s="428">
        <v>1502.81492</v>
      </c>
      <c r="L33" s="558">
        <f t="shared" si="1"/>
        <v>69.431079999999838</v>
      </c>
      <c r="N33" s="654">
        <f>'T5A_PLAN_vs_PRFM '!H33*150/1000000</f>
        <v>2289.7356</v>
      </c>
      <c r="O33" s="654">
        <f t="shared" si="2"/>
        <v>0</v>
      </c>
      <c r="P33" s="509">
        <v>2289.7356</v>
      </c>
      <c r="Q33" s="509">
        <v>2289.7356</v>
      </c>
      <c r="R33" s="622">
        <f t="shared" si="3"/>
        <v>0</v>
      </c>
      <c r="S33" s="509">
        <v>1502.81492</v>
      </c>
      <c r="T33" s="509"/>
      <c r="U33" s="537">
        <f t="shared" si="4"/>
        <v>69.431079999999838</v>
      </c>
      <c r="V33" s="509"/>
      <c r="W33" s="537">
        <f t="shared" si="5"/>
        <v>786.92067999999995</v>
      </c>
      <c r="X33" s="537"/>
      <c r="Y33" s="537">
        <f t="shared" si="6"/>
        <v>2.8143200000001798</v>
      </c>
      <c r="Z33" s="464">
        <f t="shared" si="7"/>
        <v>2289.7356</v>
      </c>
      <c r="AA33" s="453">
        <f t="shared" si="8"/>
        <v>98695.5</v>
      </c>
      <c r="AC33" s="422">
        <v>2289.7356</v>
      </c>
      <c r="AD33" s="464">
        <f t="shared" si="9"/>
        <v>2289.7356</v>
      </c>
      <c r="AE33" s="464">
        <f t="shared" si="10"/>
        <v>0</v>
      </c>
      <c r="AG33" s="422">
        <v>2289.7356</v>
      </c>
      <c r="AH33" s="464">
        <f t="shared" si="11"/>
        <v>2289.7356</v>
      </c>
      <c r="AI33" s="464">
        <f t="shared" si="12"/>
        <v>0</v>
      </c>
    </row>
    <row r="34" spans="1:36" s="422" customFormat="1" ht="14.25">
      <c r="A34" s="421">
        <v>23</v>
      </c>
      <c r="B34" s="385" t="s">
        <v>911</v>
      </c>
      <c r="C34" s="429">
        <v>331.98155999999994</v>
      </c>
      <c r="D34" s="434">
        <v>23.098000000000013</v>
      </c>
      <c r="E34" s="440">
        <v>338.59000000000003</v>
      </c>
      <c r="F34" s="429">
        <v>323.23284000000001</v>
      </c>
      <c r="G34" s="558">
        <f t="shared" si="0"/>
        <v>38.455160000000035</v>
      </c>
      <c r="H34" s="428">
        <v>774.62364000000002</v>
      </c>
      <c r="I34" s="435">
        <v>39.982000000000085</v>
      </c>
      <c r="J34" s="441">
        <v>730.3599999999999</v>
      </c>
      <c r="K34" s="428">
        <v>754.20996000000002</v>
      </c>
      <c r="L34" s="558">
        <f t="shared" si="1"/>
        <v>16.132039999999961</v>
      </c>
      <c r="N34" s="654">
        <f>'T5A_PLAN_vs_PRFM '!H34*150/1000000</f>
        <v>1077.4428</v>
      </c>
      <c r="O34" s="654">
        <f t="shared" si="2"/>
        <v>0</v>
      </c>
      <c r="P34" s="509">
        <v>1077.4428</v>
      </c>
      <c r="Q34" s="509">
        <v>1077.4428</v>
      </c>
      <c r="R34" s="622">
        <f t="shared" si="3"/>
        <v>0</v>
      </c>
      <c r="S34" s="509">
        <v>754.20996000000002</v>
      </c>
      <c r="T34" s="509"/>
      <c r="U34" s="537">
        <f t="shared" si="4"/>
        <v>16.132039999999961</v>
      </c>
      <c r="V34" s="509"/>
      <c r="W34" s="537">
        <f t="shared" si="5"/>
        <v>323.23284000000001</v>
      </c>
      <c r="X34" s="537"/>
      <c r="Y34" s="537">
        <f t="shared" si="6"/>
        <v>38.455160000000035</v>
      </c>
      <c r="Z34" s="464">
        <f t="shared" si="7"/>
        <v>1077.4428</v>
      </c>
      <c r="AA34" s="453">
        <f t="shared" si="8"/>
        <v>46441.5</v>
      </c>
      <c r="AC34" s="422">
        <v>1077.4428</v>
      </c>
      <c r="AD34" s="464">
        <f t="shared" si="9"/>
        <v>1077.4428</v>
      </c>
      <c r="AE34" s="464">
        <f t="shared" si="10"/>
        <v>0</v>
      </c>
      <c r="AG34" s="422">
        <v>1077.4428</v>
      </c>
      <c r="AH34" s="464">
        <f t="shared" si="11"/>
        <v>1077.4428</v>
      </c>
      <c r="AI34" s="464">
        <f t="shared" si="12"/>
        <v>0</v>
      </c>
    </row>
    <row r="35" spans="1:36" s="422" customFormat="1" ht="14.25">
      <c r="A35" s="421">
        <v>24</v>
      </c>
      <c r="B35" s="385" t="s">
        <v>912</v>
      </c>
      <c r="C35" s="429">
        <v>342.76607999999999</v>
      </c>
      <c r="D35" s="434">
        <v>17.376000000000033</v>
      </c>
      <c r="E35" s="440">
        <v>308.33</v>
      </c>
      <c r="F35" s="429">
        <v>315.87263999999993</v>
      </c>
      <c r="G35" s="558">
        <f t="shared" si="0"/>
        <v>9.8333600000000843</v>
      </c>
      <c r="H35" s="428">
        <v>799.78751999999997</v>
      </c>
      <c r="I35" s="435">
        <v>25.826000000000022</v>
      </c>
      <c r="J35" s="441">
        <v>714.23</v>
      </c>
      <c r="K35" s="428">
        <v>737.03616</v>
      </c>
      <c r="L35" s="558">
        <f t="shared" si="1"/>
        <v>3.0198400000000447</v>
      </c>
      <c r="N35" s="654">
        <f>'T5A_PLAN_vs_PRFM '!H35*150/1000000</f>
        <v>1052.9087999999999</v>
      </c>
      <c r="O35" s="654">
        <f t="shared" si="2"/>
        <v>0</v>
      </c>
      <c r="P35" s="509">
        <v>1052.9087999999999</v>
      </c>
      <c r="Q35" s="509">
        <v>1052.9087999999999</v>
      </c>
      <c r="R35" s="622">
        <f t="shared" si="3"/>
        <v>0</v>
      </c>
      <c r="S35" s="509">
        <v>737.03616</v>
      </c>
      <c r="T35" s="509"/>
      <c r="U35" s="537">
        <f t="shared" si="4"/>
        <v>3.0198400000000447</v>
      </c>
      <c r="V35" s="509"/>
      <c r="W35" s="537">
        <f t="shared" si="5"/>
        <v>315.87263999999993</v>
      </c>
      <c r="X35" s="537"/>
      <c r="Y35" s="537">
        <f t="shared" si="6"/>
        <v>9.8333600000000843</v>
      </c>
      <c r="Z35" s="464">
        <f t="shared" si="7"/>
        <v>1052.9087999999999</v>
      </c>
      <c r="AA35" s="453">
        <f t="shared" si="8"/>
        <v>45383.999999999993</v>
      </c>
      <c r="AC35" s="422">
        <v>1052.9087999999999</v>
      </c>
      <c r="AD35" s="464">
        <f t="shared" si="9"/>
        <v>1052.9087999999999</v>
      </c>
      <c r="AE35" s="464">
        <f t="shared" si="10"/>
        <v>0</v>
      </c>
      <c r="AG35" s="422">
        <v>1052.9087999999999</v>
      </c>
      <c r="AH35" s="464">
        <f t="shared" si="11"/>
        <v>1052.9087999999999</v>
      </c>
      <c r="AI35" s="464">
        <f t="shared" si="12"/>
        <v>0</v>
      </c>
    </row>
    <row r="36" spans="1:36" s="295" customFormat="1" ht="14.25">
      <c r="A36" s="299">
        <v>25</v>
      </c>
      <c r="B36" s="385" t="s">
        <v>913</v>
      </c>
      <c r="C36" s="524">
        <v>881.93520000000001</v>
      </c>
      <c r="D36" s="299">
        <v>36.793999999999983</v>
      </c>
      <c r="E36" s="557">
        <v>846.49</v>
      </c>
      <c r="F36" s="524">
        <v>820.10604000000001</v>
      </c>
      <c r="G36" s="558">
        <f t="shared" si="0"/>
        <v>63.177959999999985</v>
      </c>
      <c r="H36" s="658">
        <v>2057.8487999999998</v>
      </c>
      <c r="I36" s="423">
        <v>2.6700000000000728</v>
      </c>
      <c r="J36" s="556">
        <v>1978.74</v>
      </c>
      <c r="K36" s="658">
        <v>1963.5807600000001</v>
      </c>
      <c r="L36" s="558">
        <f t="shared" si="1"/>
        <v>17.829240000000027</v>
      </c>
      <c r="N36" s="654">
        <f>'T5A_PLAN_vs_PRFM '!H36*150/1000000</f>
        <v>2783.6867999999999</v>
      </c>
      <c r="O36" s="654">
        <f t="shared" si="2"/>
        <v>0</v>
      </c>
      <c r="P36" s="295">
        <v>2783.6867999999999</v>
      </c>
      <c r="Q36" s="295">
        <v>2783.6867999999999</v>
      </c>
      <c r="R36" s="295">
        <f t="shared" si="3"/>
        <v>0</v>
      </c>
      <c r="S36" s="295">
        <v>1948.5807600000001</v>
      </c>
      <c r="U36" s="669">
        <f t="shared" si="4"/>
        <v>32.829240000000027</v>
      </c>
      <c r="W36" s="669">
        <f t="shared" si="5"/>
        <v>835.10603999999989</v>
      </c>
      <c r="X36" s="669"/>
      <c r="Y36" s="669">
        <f t="shared" si="6"/>
        <v>48.177960000000098</v>
      </c>
      <c r="Z36" s="670">
        <f t="shared" si="7"/>
        <v>2783.6867999999999</v>
      </c>
      <c r="AA36" s="566">
        <f t="shared" si="8"/>
        <v>119986.5</v>
      </c>
      <c r="AC36" s="295">
        <v>2783.6867999999999</v>
      </c>
      <c r="AD36" s="670">
        <f t="shared" si="9"/>
        <v>2783.6867999999999</v>
      </c>
      <c r="AE36" s="670">
        <f t="shared" si="10"/>
        <v>0</v>
      </c>
      <c r="AG36" s="295">
        <v>2783.6867999999999</v>
      </c>
      <c r="AH36" s="670">
        <f t="shared" si="11"/>
        <v>2783.6867999999999</v>
      </c>
      <c r="AI36" s="670">
        <f t="shared" si="12"/>
        <v>0</v>
      </c>
    </row>
    <row r="37" spans="1:36" s="422" customFormat="1" ht="14.25">
      <c r="A37" s="421">
        <v>26</v>
      </c>
      <c r="B37" s="385" t="s">
        <v>914</v>
      </c>
      <c r="C37" s="429">
        <v>633.30083999999988</v>
      </c>
      <c r="D37" s="434">
        <v>19.754000000000019</v>
      </c>
      <c r="E37" s="440">
        <v>602.02</v>
      </c>
      <c r="F37" s="429">
        <v>609.23663999999985</v>
      </c>
      <c r="G37" s="558">
        <f t="shared" si="0"/>
        <v>12.537360000000149</v>
      </c>
      <c r="H37" s="428">
        <v>1477.7019599999999</v>
      </c>
      <c r="I37" s="435">
        <v>23.397999999999911</v>
      </c>
      <c r="J37" s="441">
        <v>1413.0700000000002</v>
      </c>
      <c r="K37" s="428">
        <v>1421.5521600000002</v>
      </c>
      <c r="L37" s="558">
        <f t="shared" si="1"/>
        <v>14.915839999999889</v>
      </c>
      <c r="N37" s="654">
        <f>'T5A_PLAN_vs_PRFM '!H37*150/1000000</f>
        <v>2030.7888</v>
      </c>
      <c r="O37" s="654">
        <f t="shared" si="2"/>
        <v>0</v>
      </c>
      <c r="P37" s="509">
        <v>2030.7888</v>
      </c>
      <c r="Q37" s="509">
        <v>2030.7888</v>
      </c>
      <c r="R37" s="622">
        <f t="shared" si="3"/>
        <v>0</v>
      </c>
      <c r="S37" s="509">
        <v>1421.5521600000002</v>
      </c>
      <c r="T37" s="509"/>
      <c r="U37" s="537">
        <f t="shared" si="4"/>
        <v>14.915839999999889</v>
      </c>
      <c r="V37" s="509"/>
      <c r="W37" s="537">
        <f t="shared" si="5"/>
        <v>609.23663999999985</v>
      </c>
      <c r="X37" s="537"/>
      <c r="Y37" s="537">
        <f t="shared" si="6"/>
        <v>12.537360000000149</v>
      </c>
      <c r="Z37" s="464">
        <f t="shared" si="7"/>
        <v>2030.7888</v>
      </c>
      <c r="AA37" s="453">
        <f t="shared" si="8"/>
        <v>87534</v>
      </c>
      <c r="AC37" s="422">
        <v>2030.7888</v>
      </c>
      <c r="AD37" s="464">
        <f t="shared" si="9"/>
        <v>2030.7888</v>
      </c>
      <c r="AE37" s="464">
        <f t="shared" si="10"/>
        <v>0</v>
      </c>
      <c r="AG37" s="422">
        <v>2030.7888</v>
      </c>
      <c r="AH37" s="464">
        <f t="shared" si="11"/>
        <v>2030.7888</v>
      </c>
      <c r="AI37" s="464">
        <f t="shared" si="12"/>
        <v>0</v>
      </c>
    </row>
    <row r="38" spans="1:36" s="295" customFormat="1" ht="14.25">
      <c r="A38" s="299">
        <v>27</v>
      </c>
      <c r="B38" s="385" t="s">
        <v>915</v>
      </c>
      <c r="C38" s="524">
        <v>354.33359999999993</v>
      </c>
      <c r="D38" s="299">
        <v>35.053999999999974</v>
      </c>
      <c r="E38" s="557">
        <v>352.65</v>
      </c>
      <c r="F38" s="524">
        <v>355.83848</v>
      </c>
      <c r="G38" s="558">
        <f t="shared" si="0"/>
        <v>31.865519999999947</v>
      </c>
      <c r="H38" s="658">
        <v>826.77839999999992</v>
      </c>
      <c r="I38" s="423">
        <v>89.291000000000054</v>
      </c>
      <c r="J38" s="556">
        <v>826.5</v>
      </c>
      <c r="K38" s="658">
        <v>863.62311999999997</v>
      </c>
      <c r="L38" s="558">
        <f t="shared" si="1"/>
        <v>52.167880000000082</v>
      </c>
      <c r="N38" s="654">
        <f>'T5A_PLAN_vs_PRFM '!H38*150/1000000</f>
        <v>1219.4616000000001</v>
      </c>
      <c r="O38" s="654">
        <f t="shared" si="2"/>
        <v>0</v>
      </c>
      <c r="P38" s="295">
        <v>1219.4616000000001</v>
      </c>
      <c r="Q38" s="295">
        <v>1219.4616000000001</v>
      </c>
      <c r="R38" s="295">
        <f t="shared" si="3"/>
        <v>0</v>
      </c>
      <c r="S38" s="295">
        <v>853.62312000000009</v>
      </c>
      <c r="U38" s="669">
        <f t="shared" si="4"/>
        <v>62.167879999999968</v>
      </c>
      <c r="W38" s="669">
        <f t="shared" si="5"/>
        <v>365.83848</v>
      </c>
      <c r="X38" s="669"/>
      <c r="Y38" s="669">
        <f t="shared" si="6"/>
        <v>21.865519999999947</v>
      </c>
      <c r="Z38" s="670">
        <f t="shared" si="7"/>
        <v>1219.4616000000001</v>
      </c>
      <c r="AA38" s="566">
        <f t="shared" si="8"/>
        <v>52563</v>
      </c>
      <c r="AC38" s="295">
        <v>1219.4616000000001</v>
      </c>
      <c r="AD38" s="670">
        <f t="shared" si="9"/>
        <v>1219.4616000000001</v>
      </c>
      <c r="AE38" s="670">
        <f t="shared" si="10"/>
        <v>0</v>
      </c>
      <c r="AG38" s="295">
        <v>1219.4616000000001</v>
      </c>
      <c r="AH38" s="670">
        <f t="shared" si="11"/>
        <v>1219.4616000000001</v>
      </c>
      <c r="AI38" s="670">
        <f t="shared" si="12"/>
        <v>0</v>
      </c>
    </row>
    <row r="39" spans="1:36" s="422" customFormat="1" ht="14.25">
      <c r="A39" s="421">
        <v>28</v>
      </c>
      <c r="B39" s="385" t="s">
        <v>916</v>
      </c>
      <c r="C39" s="429">
        <v>421.17048</v>
      </c>
      <c r="D39" s="434">
        <v>10.043000000000006</v>
      </c>
      <c r="E39" s="440">
        <v>440.6</v>
      </c>
      <c r="F39" s="429">
        <v>441.1422</v>
      </c>
      <c r="G39" s="558">
        <f t="shared" si="0"/>
        <v>9.5008000000000266</v>
      </c>
      <c r="H39" s="428">
        <v>982.73111999999992</v>
      </c>
      <c r="I39" s="435">
        <v>57.074999999999932</v>
      </c>
      <c r="J39" s="441">
        <v>990.1</v>
      </c>
      <c r="K39" s="428">
        <v>1029.3317999999999</v>
      </c>
      <c r="L39" s="558">
        <f t="shared" si="1"/>
        <v>17.843200000000024</v>
      </c>
      <c r="N39" s="654">
        <f>'T5A_PLAN_vs_PRFM '!H39*150/1000000</f>
        <v>1470.4739999999999</v>
      </c>
      <c r="O39" s="654">
        <f t="shared" si="2"/>
        <v>0</v>
      </c>
      <c r="P39" s="509">
        <v>1470.4739999999999</v>
      </c>
      <c r="Q39" s="509">
        <v>1470.4739999999999</v>
      </c>
      <c r="R39" s="622">
        <f t="shared" si="3"/>
        <v>0</v>
      </c>
      <c r="S39" s="509">
        <v>1029.3317999999999</v>
      </c>
      <c r="T39" s="509"/>
      <c r="U39" s="537">
        <f t="shared" si="4"/>
        <v>17.843200000000024</v>
      </c>
      <c r="V39" s="509"/>
      <c r="W39" s="537">
        <f t="shared" si="5"/>
        <v>441.1422</v>
      </c>
      <c r="X39" s="537"/>
      <c r="Y39" s="537">
        <f t="shared" si="6"/>
        <v>9.5008000000000266</v>
      </c>
      <c r="Z39" s="464">
        <f t="shared" si="7"/>
        <v>1470.4739999999999</v>
      </c>
      <c r="AA39" s="453">
        <f t="shared" si="8"/>
        <v>63382.5</v>
      </c>
      <c r="AC39" s="422">
        <v>1470.4739999999999</v>
      </c>
      <c r="AD39" s="464">
        <f t="shared" si="9"/>
        <v>1470.4739999999999</v>
      </c>
      <c r="AE39" s="464">
        <f t="shared" si="10"/>
        <v>0</v>
      </c>
      <c r="AG39" s="422">
        <v>1470.4739999999999</v>
      </c>
      <c r="AH39" s="464">
        <f t="shared" si="11"/>
        <v>1470.4739999999999</v>
      </c>
      <c r="AI39" s="464">
        <f t="shared" si="12"/>
        <v>0</v>
      </c>
    </row>
    <row r="40" spans="1:36" s="422" customFormat="1" ht="14.25">
      <c r="A40" s="421">
        <v>29</v>
      </c>
      <c r="B40" s="385" t="s">
        <v>917</v>
      </c>
      <c r="C40" s="429">
        <v>348.06348000000003</v>
      </c>
      <c r="D40" s="434">
        <v>19.475000000000023</v>
      </c>
      <c r="E40" s="440">
        <v>338.28</v>
      </c>
      <c r="F40" s="429">
        <v>304.37819999999999</v>
      </c>
      <c r="G40" s="558">
        <f t="shared" si="0"/>
        <v>53.376800000000003</v>
      </c>
      <c r="H40" s="428">
        <v>812.14811999999984</v>
      </c>
      <c r="I40" s="435">
        <v>47.36099999999999</v>
      </c>
      <c r="J40" s="441">
        <v>682.15000000000009</v>
      </c>
      <c r="K40" s="428">
        <v>710.21580000000006</v>
      </c>
      <c r="L40" s="558">
        <f t="shared" si="1"/>
        <v>19.295200000000023</v>
      </c>
      <c r="N40" s="654">
        <f>'T5A_PLAN_vs_PRFM '!H40*150/1000000</f>
        <v>1014.5940000000001</v>
      </c>
      <c r="O40" s="654">
        <f t="shared" si="2"/>
        <v>0</v>
      </c>
      <c r="P40" s="509">
        <v>1014.5940000000001</v>
      </c>
      <c r="Q40" s="509">
        <v>1014.5940000000001</v>
      </c>
      <c r="R40" s="622">
        <f t="shared" si="3"/>
        <v>0</v>
      </c>
      <c r="S40" s="509">
        <v>710.21580000000006</v>
      </c>
      <c r="T40" s="509"/>
      <c r="U40" s="537">
        <f t="shared" si="4"/>
        <v>19.295200000000023</v>
      </c>
      <c r="V40" s="509"/>
      <c r="W40" s="537">
        <f t="shared" si="5"/>
        <v>304.37819999999999</v>
      </c>
      <c r="X40" s="537"/>
      <c r="Y40" s="537">
        <f t="shared" si="6"/>
        <v>53.376800000000003</v>
      </c>
      <c r="Z40" s="464">
        <f t="shared" si="7"/>
        <v>1014.5940000000001</v>
      </c>
      <c r="AA40" s="453">
        <f t="shared" si="8"/>
        <v>43732.5</v>
      </c>
      <c r="AC40" s="422">
        <v>1014.5940000000001</v>
      </c>
      <c r="AD40" s="464">
        <f t="shared" si="9"/>
        <v>1014.5940000000001</v>
      </c>
      <c r="AE40" s="464">
        <f t="shared" si="10"/>
        <v>0</v>
      </c>
      <c r="AG40" s="422">
        <v>1014.5940000000001</v>
      </c>
      <c r="AH40" s="464">
        <f t="shared" si="11"/>
        <v>1014.5940000000001</v>
      </c>
      <c r="AI40" s="464">
        <f t="shared" si="12"/>
        <v>0</v>
      </c>
    </row>
    <row r="41" spans="1:36" s="295" customFormat="1" ht="14.25">
      <c r="A41" s="299">
        <v>30</v>
      </c>
      <c r="B41" s="385" t="s">
        <v>918</v>
      </c>
      <c r="C41" s="524">
        <v>481.46147999999994</v>
      </c>
      <c r="D41" s="299">
        <v>49.866000000000099</v>
      </c>
      <c r="E41" s="557">
        <v>450.77</v>
      </c>
      <c r="F41" s="524">
        <v>493.96859999999992</v>
      </c>
      <c r="G41" s="558">
        <f t="shared" si="0"/>
        <v>6.667400000000157</v>
      </c>
      <c r="H41" s="658">
        <v>1123.41012</v>
      </c>
      <c r="I41" s="423">
        <v>125.82299999999999</v>
      </c>
      <c r="J41" s="556">
        <v>1072.73</v>
      </c>
      <c r="K41" s="658">
        <v>1156.5934</v>
      </c>
      <c r="L41" s="558">
        <f t="shared" si="1"/>
        <v>41.959600000000137</v>
      </c>
      <c r="N41" s="654">
        <f>'T5A_PLAN_vs_PRFM '!H41*150/1000000</f>
        <v>1646.5619999999999</v>
      </c>
      <c r="O41" s="654">
        <f t="shared" si="2"/>
        <v>0</v>
      </c>
      <c r="P41" s="295">
        <v>1646.5619999999999</v>
      </c>
      <c r="Q41" s="295">
        <v>1646.5619999999999</v>
      </c>
      <c r="R41" s="295">
        <f t="shared" si="3"/>
        <v>0</v>
      </c>
      <c r="S41" s="295">
        <v>1152.5934</v>
      </c>
      <c r="U41" s="669">
        <f t="shared" si="4"/>
        <v>45.959600000000137</v>
      </c>
      <c r="W41" s="669">
        <f t="shared" si="5"/>
        <v>493.96859999999992</v>
      </c>
      <c r="X41" s="669"/>
      <c r="Y41" s="669">
        <f t="shared" si="6"/>
        <v>6.667400000000157</v>
      </c>
      <c r="Z41" s="670">
        <f t="shared" si="7"/>
        <v>1650.5619999999999</v>
      </c>
      <c r="AA41" s="566">
        <f t="shared" si="8"/>
        <v>71144.913793103449</v>
      </c>
      <c r="AC41" s="295">
        <v>1646.5619999999999</v>
      </c>
      <c r="AD41" s="670">
        <f t="shared" si="9"/>
        <v>1650.5619999999999</v>
      </c>
      <c r="AE41" s="670">
        <f t="shared" si="10"/>
        <v>-4</v>
      </c>
      <c r="AG41" s="295">
        <v>1646.5619999999999</v>
      </c>
      <c r="AH41" s="670">
        <f t="shared" si="11"/>
        <v>1650.5619999999999</v>
      </c>
      <c r="AI41" s="670">
        <f t="shared" si="12"/>
        <v>-4</v>
      </c>
    </row>
    <row r="42" spans="1:36" s="422" customFormat="1" ht="14.25">
      <c r="A42" s="421">
        <v>31</v>
      </c>
      <c r="B42" s="385" t="s">
        <v>919</v>
      </c>
      <c r="C42" s="429">
        <v>290.04408000000001</v>
      </c>
      <c r="D42" s="434">
        <v>18.271999999999991</v>
      </c>
      <c r="E42" s="440">
        <v>300.48</v>
      </c>
      <c r="F42" s="429">
        <v>268.97615999999994</v>
      </c>
      <c r="G42" s="558">
        <f t="shared" si="0"/>
        <v>49.775840000000073</v>
      </c>
      <c r="H42" s="428">
        <v>676.76951999999994</v>
      </c>
      <c r="I42" s="435">
        <v>12.144999999999982</v>
      </c>
      <c r="J42" s="441">
        <v>632.78100000000006</v>
      </c>
      <c r="K42" s="428">
        <v>627.61104000000012</v>
      </c>
      <c r="L42" s="558">
        <f t="shared" si="1"/>
        <v>17.314959999999928</v>
      </c>
      <c r="N42" s="654">
        <f>'T5A_PLAN_vs_PRFM '!H42*150/1000000</f>
        <v>896.58720000000005</v>
      </c>
      <c r="O42" s="654">
        <f t="shared" si="2"/>
        <v>0</v>
      </c>
      <c r="P42" s="509">
        <v>896.58720000000005</v>
      </c>
      <c r="Q42" s="509">
        <v>896.58720000000005</v>
      </c>
      <c r="R42" s="622">
        <f t="shared" si="3"/>
        <v>0</v>
      </c>
      <c r="S42" s="509">
        <v>627.61104000000012</v>
      </c>
      <c r="T42" s="509"/>
      <c r="U42" s="537">
        <f t="shared" si="4"/>
        <v>17.314959999999928</v>
      </c>
      <c r="V42" s="509"/>
      <c r="W42" s="537">
        <f t="shared" si="5"/>
        <v>268.97615999999994</v>
      </c>
      <c r="X42" s="537"/>
      <c r="Y42" s="537">
        <f t="shared" si="6"/>
        <v>49.775840000000073</v>
      </c>
      <c r="Z42" s="464">
        <f t="shared" si="7"/>
        <v>896.58720000000005</v>
      </c>
      <c r="AA42" s="453">
        <f t="shared" si="8"/>
        <v>38646</v>
      </c>
      <c r="AC42" s="422">
        <v>896.58720000000005</v>
      </c>
      <c r="AD42" s="464">
        <f t="shared" si="9"/>
        <v>896.58720000000005</v>
      </c>
      <c r="AE42" s="464">
        <f t="shared" si="10"/>
        <v>0</v>
      </c>
      <c r="AG42" s="422">
        <v>896.58720000000005</v>
      </c>
      <c r="AH42" s="464">
        <f t="shared" si="11"/>
        <v>896.58720000000005</v>
      </c>
      <c r="AI42" s="464">
        <f t="shared" si="12"/>
        <v>0</v>
      </c>
    </row>
    <row r="43" spans="1:36" s="422" customFormat="1" ht="14.25">
      <c r="A43" s="421">
        <v>32</v>
      </c>
      <c r="B43" s="385" t="s">
        <v>920</v>
      </c>
      <c r="C43" s="429">
        <v>325.43567999999993</v>
      </c>
      <c r="D43" s="434">
        <v>69.211000000000013</v>
      </c>
      <c r="E43" s="440">
        <v>316.27999999999997</v>
      </c>
      <c r="F43" s="429">
        <v>380.53039999999999</v>
      </c>
      <c r="G43" s="558">
        <f t="shared" si="0"/>
        <v>4.9605999999999995</v>
      </c>
      <c r="H43" s="428">
        <v>759.34992</v>
      </c>
      <c r="I43" s="435">
        <v>21.186000000000035</v>
      </c>
      <c r="J43" s="441">
        <v>702.04</v>
      </c>
      <c r="K43" s="428">
        <v>721.23760000000004</v>
      </c>
      <c r="L43" s="558">
        <f t="shared" si="1"/>
        <v>1.988399999999956</v>
      </c>
      <c r="N43" s="654">
        <f>'T5A_PLAN_vs_PRFM '!H43*150/1000000</f>
        <v>1101.768</v>
      </c>
      <c r="O43" s="654">
        <f t="shared" si="2"/>
        <v>0</v>
      </c>
      <c r="P43" s="509">
        <v>1101.768</v>
      </c>
      <c r="Q43" s="509">
        <v>1101.768</v>
      </c>
      <c r="R43" s="622">
        <f t="shared" si="3"/>
        <v>0</v>
      </c>
      <c r="S43" s="509">
        <v>721.23760000000004</v>
      </c>
      <c r="T43" s="509"/>
      <c r="U43" s="537">
        <f t="shared" si="4"/>
        <v>1.988399999999956</v>
      </c>
      <c r="V43" s="509"/>
      <c r="W43" s="537">
        <f t="shared" si="5"/>
        <v>380.53039999999999</v>
      </c>
      <c r="X43" s="537"/>
      <c r="Y43" s="537">
        <f t="shared" si="6"/>
        <v>4.9605999999999995</v>
      </c>
      <c r="Z43" s="464">
        <f t="shared" si="7"/>
        <v>1101.768</v>
      </c>
      <c r="AA43" s="453">
        <f t="shared" si="8"/>
        <v>47490</v>
      </c>
      <c r="AC43" s="422">
        <v>1101.768</v>
      </c>
      <c r="AD43" s="464">
        <f t="shared" si="9"/>
        <v>1101.768</v>
      </c>
      <c r="AE43" s="464">
        <f t="shared" si="10"/>
        <v>0</v>
      </c>
      <c r="AG43" s="422">
        <v>1101.768</v>
      </c>
      <c r="AH43" s="464">
        <f t="shared" si="11"/>
        <v>1101.768</v>
      </c>
      <c r="AI43" s="464">
        <f t="shared" si="12"/>
        <v>0</v>
      </c>
    </row>
    <row r="44" spans="1:36" s="422" customFormat="1" ht="14.25">
      <c r="A44" s="421">
        <v>33</v>
      </c>
      <c r="B44" s="385" t="s">
        <v>921</v>
      </c>
      <c r="C44" s="429">
        <v>996.13259999999991</v>
      </c>
      <c r="D44" s="434">
        <v>12.664999999999964</v>
      </c>
      <c r="E44" s="440">
        <v>862.8</v>
      </c>
      <c r="F44" s="429">
        <v>871.13959999999997</v>
      </c>
      <c r="G44" s="558">
        <f t="shared" si="0"/>
        <v>4.3253999999999451</v>
      </c>
      <c r="H44" s="428">
        <v>2324.3093999999996</v>
      </c>
      <c r="I44" s="435">
        <v>23.150000000000091</v>
      </c>
      <c r="J44" s="441">
        <v>1896.1599999999999</v>
      </c>
      <c r="K44" s="428">
        <v>1915.9924000000001</v>
      </c>
      <c r="L44" s="558">
        <f t="shared" si="1"/>
        <v>3.3175999999998567</v>
      </c>
      <c r="N44" s="654">
        <f>'T5A_PLAN_vs_PRFM '!H44*150/1000000</f>
        <v>2787.1320000000001</v>
      </c>
      <c r="O44" s="654"/>
      <c r="P44" s="509">
        <v>2787.1320000000001</v>
      </c>
      <c r="Q44" s="509">
        <v>3483.1320000000001</v>
      </c>
      <c r="R44" s="622">
        <f t="shared" si="3"/>
        <v>-696</v>
      </c>
      <c r="S44" s="509">
        <v>1915.9924000000001</v>
      </c>
      <c r="T44" s="509"/>
      <c r="U44" s="537">
        <f t="shared" si="4"/>
        <v>3.3175999999998567</v>
      </c>
      <c r="V44" s="509"/>
      <c r="W44" s="537">
        <f t="shared" si="5"/>
        <v>871.13959999999997</v>
      </c>
      <c r="X44" s="537"/>
      <c r="Y44" s="537">
        <f t="shared" si="6"/>
        <v>4.3253999999999451</v>
      </c>
      <c r="Z44" s="464">
        <f t="shared" si="7"/>
        <v>2787.1320000000001</v>
      </c>
      <c r="AA44" s="453">
        <f t="shared" si="8"/>
        <v>120135</v>
      </c>
      <c r="AC44" s="422">
        <v>3483.1320000000001</v>
      </c>
      <c r="AD44" s="464">
        <f t="shared" si="9"/>
        <v>2787.1320000000001</v>
      </c>
      <c r="AE44" s="464">
        <f t="shared" si="10"/>
        <v>696</v>
      </c>
      <c r="AG44" s="422">
        <v>3483.1320000000001</v>
      </c>
      <c r="AH44" s="464">
        <f t="shared" si="11"/>
        <v>2787.1320000000001</v>
      </c>
      <c r="AI44" s="464">
        <f t="shared" si="12"/>
        <v>696</v>
      </c>
      <c r="AJ44" s="422">
        <f>AH44*1000000/232/150</f>
        <v>80090</v>
      </c>
    </row>
    <row r="45" spans="1:36">
      <c r="A45" s="3" t="s">
        <v>19</v>
      </c>
      <c r="B45" s="19"/>
      <c r="C45" s="429">
        <f>SUM(C12:C44)</f>
        <v>17712.300959999997</v>
      </c>
      <c r="D45" s="429">
        <f>SUM(D12:D44)</f>
        <v>1021.2649999999999</v>
      </c>
      <c r="E45" s="429">
        <f>SUM(E12:E44)</f>
        <v>16652.838000000003</v>
      </c>
      <c r="F45" s="429">
        <f t="shared" ref="F45:L45" si="13">SUM(F12:F44)</f>
        <v>16599.227599999998</v>
      </c>
      <c r="G45" s="429">
        <f t="shared" si="13"/>
        <v>1074.8753999999997</v>
      </c>
      <c r="H45" s="429">
        <f t="shared" si="13"/>
        <v>41328.702239999999</v>
      </c>
      <c r="I45" s="429">
        <f t="shared" si="13"/>
        <v>1923.2659999999996</v>
      </c>
      <c r="J45" s="429">
        <f t="shared" si="13"/>
        <v>39105.67300000001</v>
      </c>
      <c r="K45" s="429">
        <f t="shared" si="13"/>
        <v>39410.924400000004</v>
      </c>
      <c r="L45" s="524">
        <f t="shared" si="13"/>
        <v>1618.0146000000007</v>
      </c>
      <c r="N45" s="674">
        <f>SUM(N12:N44)</f>
        <v>57485.980800000005</v>
      </c>
      <c r="O45" s="654">
        <f t="shared" si="2"/>
        <v>191.40000000000146</v>
      </c>
      <c r="P45" s="509">
        <f>SUM(P12:P44)</f>
        <v>57294.580800000011</v>
      </c>
      <c r="Q45" s="509">
        <v>57294.580800000003</v>
      </c>
      <c r="R45" s="622">
        <f t="shared" si="3"/>
        <v>0</v>
      </c>
      <c r="S45" s="509">
        <f t="shared" ref="S45" si="14">P45*70/100</f>
        <v>40106.206560000006</v>
      </c>
      <c r="W45" s="537">
        <f t="shared" si="5"/>
        <v>17188.374240000005</v>
      </c>
      <c r="X45" s="537"/>
      <c r="Y45" s="537">
        <f t="shared" si="6"/>
        <v>485.72875999999815</v>
      </c>
      <c r="Z45" s="464">
        <f t="shared" si="7"/>
        <v>56010.152000000002</v>
      </c>
      <c r="AA45" s="453">
        <f>SUM(AA12:AA44)</f>
        <v>2414230.6896551722</v>
      </c>
    </row>
    <row r="46" spans="1:36">
      <c r="A46" s="21" t="s">
        <v>666</v>
      </c>
      <c r="B46" s="22"/>
      <c r="C46" s="22"/>
      <c r="D46" s="22"/>
      <c r="E46" s="22"/>
      <c r="F46" s="22"/>
      <c r="G46" s="22"/>
      <c r="H46" s="22"/>
      <c r="I46" s="561">
        <f>E45+J45</f>
        <v>55758.511000000013</v>
      </c>
      <c r="J46" s="22"/>
      <c r="K46" s="22"/>
      <c r="L46" s="22"/>
      <c r="P46"/>
    </row>
    <row r="47" spans="1:36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 t="s">
        <v>1072</v>
      </c>
      <c r="K47" s="634">
        <f>E45+J45</f>
        <v>55758.511000000013</v>
      </c>
      <c r="L47" s="634">
        <f>K47+67206.88</f>
        <v>122965.39100000002</v>
      </c>
      <c r="N47" s="464"/>
    </row>
    <row r="48" spans="1:36" ht="15.75" customHeight="1">
      <c r="A48" s="14"/>
      <c r="B48" s="14"/>
      <c r="C48" s="14"/>
      <c r="D48" s="634">
        <f>C45-D45</f>
        <v>16691.035959999997</v>
      </c>
      <c r="E48" s="14"/>
      <c r="F48" s="634">
        <f>H45-I45</f>
        <v>39405.436239999995</v>
      </c>
      <c r="G48" s="634">
        <f>D48+F48</f>
        <v>56096.472199999989</v>
      </c>
      <c r="H48" s="634"/>
      <c r="I48" s="634"/>
      <c r="J48" s="14" t="s">
        <v>1071</v>
      </c>
      <c r="K48" s="634">
        <f>F45+K45</f>
        <v>56010.152000000002</v>
      </c>
      <c r="L48" s="634">
        <f>K48+68932.54</f>
        <v>124942.692</v>
      </c>
      <c r="Q48" s="464"/>
    </row>
    <row r="49" spans="1:22" ht="14.25" customHeight="1">
      <c r="A49" s="871" t="s">
        <v>13</v>
      </c>
      <c r="B49" s="871"/>
      <c r="C49" s="871"/>
      <c r="D49" s="871"/>
      <c r="E49" s="871"/>
      <c r="F49" s="871"/>
      <c r="G49" s="871"/>
      <c r="H49" s="871"/>
      <c r="I49" s="871"/>
      <c r="J49" s="871"/>
      <c r="K49" s="871"/>
      <c r="L49" s="871"/>
    </row>
    <row r="50" spans="1:22">
      <c r="A50" s="871" t="s">
        <v>14</v>
      </c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</row>
    <row r="51" spans="1:22">
      <c r="A51" s="871" t="s">
        <v>20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</row>
    <row r="52" spans="1:22">
      <c r="A52" s="14" t="s">
        <v>23</v>
      </c>
      <c r="B52" s="14"/>
      <c r="C52" s="14" t="s">
        <v>1068</v>
      </c>
      <c r="D52" s="634">
        <f>D45+I45</f>
        <v>2944.5309999999995</v>
      </c>
      <c r="E52" s="14"/>
      <c r="F52" s="14"/>
      <c r="G52" s="464">
        <f>L47+D52</f>
        <v>125909.92200000002</v>
      </c>
      <c r="J52" s="850" t="s">
        <v>87</v>
      </c>
      <c r="K52" s="850"/>
      <c r="L52" s="850"/>
      <c r="M52" s="850"/>
      <c r="N52" s="639"/>
      <c r="O52" s="639"/>
      <c r="P52" s="495"/>
      <c r="Q52" s="495"/>
      <c r="R52" s="611"/>
      <c r="S52" s="495"/>
      <c r="T52" s="495"/>
      <c r="U52" s="495"/>
      <c r="V52" s="495"/>
    </row>
    <row r="53" spans="1:22">
      <c r="A53" s="14"/>
      <c r="H53" s="464">
        <f>G52+2480.53</f>
        <v>128390.45200000002</v>
      </c>
    </row>
    <row r="54" spans="1:22">
      <c r="A54" s="934"/>
      <c r="B54" s="934"/>
      <c r="C54" s="934"/>
      <c r="D54" s="934"/>
      <c r="E54" s="934"/>
      <c r="F54" s="934"/>
      <c r="G54" s="934"/>
      <c r="H54" s="934"/>
      <c r="I54" s="934"/>
      <c r="J54" s="934"/>
      <c r="K54" s="934"/>
      <c r="L54" s="934"/>
    </row>
  </sheetData>
  <mergeCells count="16">
    <mergeCell ref="F7:L7"/>
    <mergeCell ref="A7:B7"/>
    <mergeCell ref="L1:V1"/>
    <mergeCell ref="A2:L2"/>
    <mergeCell ref="A3:L3"/>
    <mergeCell ref="A5:L5"/>
    <mergeCell ref="I8:L8"/>
    <mergeCell ref="A51:L51"/>
    <mergeCell ref="A54:L54"/>
    <mergeCell ref="A9:A10"/>
    <mergeCell ref="B9:B10"/>
    <mergeCell ref="C9:G9"/>
    <mergeCell ref="H9:L9"/>
    <mergeCell ref="A49:L49"/>
    <mergeCell ref="A50:L50"/>
    <mergeCell ref="J52:M52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  <rowBreaks count="1" manualBreakCount="1">
    <brk id="5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Z54"/>
  <sheetViews>
    <sheetView view="pageBreakPreview" topLeftCell="A22" zoomScale="89" zoomScaleSheetLayoutView="89" workbookViewId="0">
      <selection activeCell="F49" sqref="F49"/>
    </sheetView>
  </sheetViews>
  <sheetFormatPr defaultRowHeight="12.75"/>
  <cols>
    <col min="1" max="1" width="5.7109375" style="151" customWidth="1"/>
    <col min="2" max="2" width="13.7109375" style="151" customWidth="1"/>
    <col min="3" max="3" width="13" style="151" customWidth="1"/>
    <col min="4" max="4" width="12" style="151" customWidth="1"/>
    <col min="5" max="5" width="12.42578125" style="151" customWidth="1"/>
    <col min="6" max="6" width="12.7109375" style="151" customWidth="1"/>
    <col min="7" max="7" width="13.140625" style="151" customWidth="1"/>
    <col min="8" max="8" width="12.7109375" style="151" customWidth="1"/>
    <col min="9" max="9" width="12.140625" style="151" customWidth="1"/>
    <col min="10" max="10" width="12.140625" style="292" customWidth="1"/>
    <col min="11" max="11" width="16.5703125" style="151" customWidth="1"/>
    <col min="12" max="12" width="13.140625" style="151" customWidth="1"/>
    <col min="13" max="13" width="12.7109375" style="151" customWidth="1"/>
    <col min="14" max="17" width="9.140625" style="151"/>
    <col min="18" max="18" width="9.42578125" style="151" bestFit="1" customWidth="1"/>
    <col min="19" max="16384" width="9.140625" style="151"/>
  </cols>
  <sheetData>
    <row r="1" spans="1:20">
      <c r="K1" s="846" t="s">
        <v>210</v>
      </c>
      <c r="L1" s="846"/>
      <c r="M1" s="846"/>
    </row>
    <row r="2" spans="1:20" ht="12.75" customHeight="1"/>
    <row r="3" spans="1:20" ht="15.75">
      <c r="B3" s="954" t="s">
        <v>0</v>
      </c>
      <c r="C3" s="954"/>
      <c r="D3" s="954"/>
      <c r="E3" s="954"/>
      <c r="F3" s="954"/>
      <c r="G3" s="954"/>
      <c r="H3" s="954"/>
      <c r="I3" s="954"/>
      <c r="J3" s="954"/>
      <c r="K3" s="954"/>
    </row>
    <row r="4" spans="1:20" ht="20.25">
      <c r="B4" s="955" t="s">
        <v>705</v>
      </c>
      <c r="C4" s="955"/>
      <c r="D4" s="955"/>
      <c r="E4" s="955"/>
      <c r="F4" s="955"/>
      <c r="G4" s="955"/>
      <c r="H4" s="955"/>
      <c r="I4" s="955"/>
      <c r="J4" s="955"/>
      <c r="K4" s="955"/>
    </row>
    <row r="5" spans="1:20" ht="10.5" customHeight="1"/>
    <row r="6" spans="1:20" ht="15.75">
      <c r="A6" s="275" t="s">
        <v>837</v>
      </c>
      <c r="B6" s="275"/>
      <c r="C6" s="275"/>
      <c r="D6" s="275"/>
      <c r="E6" s="275"/>
      <c r="F6" s="275"/>
      <c r="G6" s="275"/>
      <c r="H6" s="275"/>
      <c r="I6" s="275"/>
      <c r="J6" s="293"/>
      <c r="K6" s="275"/>
    </row>
    <row r="7" spans="1:20" ht="15.75">
      <c r="B7" s="152"/>
      <c r="C7" s="152"/>
      <c r="D7" s="152"/>
      <c r="E7" s="152"/>
      <c r="F7" s="152"/>
      <c r="G7" s="152"/>
      <c r="H7" s="152"/>
      <c r="L7" s="959" t="s">
        <v>191</v>
      </c>
      <c r="M7" s="959"/>
    </row>
    <row r="8" spans="1:20" ht="15.75">
      <c r="C8" s="152"/>
      <c r="D8" s="152"/>
      <c r="E8" s="152"/>
      <c r="F8" s="152"/>
      <c r="G8" s="922" t="s">
        <v>781</v>
      </c>
      <c r="H8" s="922"/>
      <c r="I8" s="922"/>
      <c r="J8" s="922"/>
      <c r="K8" s="922"/>
      <c r="L8" s="922"/>
      <c r="M8" s="922"/>
    </row>
    <row r="9" spans="1:20">
      <c r="A9" s="950" t="s">
        <v>26</v>
      </c>
      <c r="B9" s="953" t="s">
        <v>3</v>
      </c>
      <c r="C9" s="949" t="s">
        <v>761</v>
      </c>
      <c r="D9" s="949" t="s">
        <v>792</v>
      </c>
      <c r="E9" s="949" t="s">
        <v>225</v>
      </c>
      <c r="F9" s="949" t="s">
        <v>224</v>
      </c>
      <c r="G9" s="949"/>
      <c r="H9" s="949" t="s">
        <v>188</v>
      </c>
      <c r="I9" s="949"/>
      <c r="J9" s="956" t="s">
        <v>436</v>
      </c>
      <c r="K9" s="949" t="s">
        <v>190</v>
      </c>
      <c r="L9" s="949" t="s">
        <v>414</v>
      </c>
      <c r="M9" s="949" t="s">
        <v>239</v>
      </c>
    </row>
    <row r="10" spans="1:20">
      <c r="A10" s="951"/>
      <c r="B10" s="953"/>
      <c r="C10" s="949"/>
      <c r="D10" s="949"/>
      <c r="E10" s="949"/>
      <c r="F10" s="949"/>
      <c r="G10" s="949"/>
      <c r="H10" s="949"/>
      <c r="I10" s="949"/>
      <c r="J10" s="957"/>
      <c r="K10" s="949"/>
      <c r="L10" s="949"/>
      <c r="M10" s="949"/>
    </row>
    <row r="11" spans="1:20" ht="27" customHeight="1">
      <c r="A11" s="952"/>
      <c r="B11" s="953"/>
      <c r="C11" s="949"/>
      <c r="D11" s="949"/>
      <c r="E11" s="949"/>
      <c r="F11" s="153" t="s">
        <v>189</v>
      </c>
      <c r="G11" s="153" t="s">
        <v>240</v>
      </c>
      <c r="H11" s="153" t="s">
        <v>189</v>
      </c>
      <c r="I11" s="153" t="s">
        <v>240</v>
      </c>
      <c r="J11" s="958"/>
      <c r="K11" s="949"/>
      <c r="L11" s="949"/>
      <c r="M11" s="949"/>
    </row>
    <row r="12" spans="1:20">
      <c r="A12" s="159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  <c r="G12" s="159">
        <v>7</v>
      </c>
      <c r="H12" s="159">
        <v>8</v>
      </c>
      <c r="I12" s="159">
        <v>9</v>
      </c>
      <c r="J12" s="294"/>
      <c r="K12" s="159">
        <v>10</v>
      </c>
      <c r="L12" s="178">
        <v>11</v>
      </c>
      <c r="M12" s="178">
        <v>12</v>
      </c>
    </row>
    <row r="13" spans="1:20" ht="15">
      <c r="A13" s="158">
        <v>1</v>
      </c>
      <c r="B13" s="385" t="s">
        <v>889</v>
      </c>
      <c r="C13" s="513">
        <v>107.2141136</v>
      </c>
      <c r="D13" s="513">
        <v>-50.239180000000005</v>
      </c>
      <c r="E13" s="513">
        <v>95.683115316853446</v>
      </c>
      <c r="F13" s="513">
        <v>3717.4141619999996</v>
      </c>
      <c r="G13" s="513">
        <v>87.275110521822839</v>
      </c>
      <c r="H13" s="513">
        <v>3717.4141619999996</v>
      </c>
      <c r="I13" s="513">
        <v>87.275110521822839</v>
      </c>
      <c r="J13" s="514"/>
      <c r="K13" s="513">
        <f>D13+E13-I13</f>
        <v>-41.831175204969398</v>
      </c>
      <c r="L13" s="517">
        <f>D13</f>
        <v>-50.239180000000005</v>
      </c>
      <c r="M13" s="517">
        <f>L13</f>
        <v>-50.239180000000005</v>
      </c>
      <c r="N13" s="586">
        <f>F13*70/100</f>
        <v>2602.1899133999996</v>
      </c>
      <c r="O13" s="586">
        <f>N13*2000/100000</f>
        <v>52.043798267999989</v>
      </c>
      <c r="P13" s="586"/>
      <c r="Q13" s="586">
        <f>F13-N13</f>
        <v>1115.2242486</v>
      </c>
      <c r="R13" s="586">
        <f>Q13*3000/100000</f>
        <v>33.456727458000003</v>
      </c>
      <c r="S13" s="586">
        <f>O13+R13</f>
        <v>85.500525725999992</v>
      </c>
      <c r="T13" s="151">
        <f>F13*89.1/100</f>
        <v>3312.2160183419992</v>
      </c>
    </row>
    <row r="14" spans="1:20" ht="15">
      <c r="A14" s="158">
        <v>2</v>
      </c>
      <c r="B14" s="385" t="s">
        <v>890</v>
      </c>
      <c r="C14" s="513">
        <v>143.53973400000001</v>
      </c>
      <c r="D14" s="513">
        <v>-37.016899999999978</v>
      </c>
      <c r="E14" s="513">
        <v>83.149833300034516</v>
      </c>
      <c r="F14" s="513">
        <v>5009.6082960000003</v>
      </c>
      <c r="G14" s="513">
        <v>75.843171149899206</v>
      </c>
      <c r="H14" s="513">
        <v>5009.6082960000003</v>
      </c>
      <c r="I14" s="513">
        <v>75.843171149899206</v>
      </c>
      <c r="J14" s="514"/>
      <c r="K14" s="513">
        <f t="shared" ref="K14:K46" si="0">D14+E14-I14</f>
        <v>-29.710237849864669</v>
      </c>
      <c r="L14" s="517">
        <f t="shared" ref="L14:L43" si="1">D14</f>
        <v>-37.016899999999978</v>
      </c>
      <c r="M14" s="517">
        <f t="shared" ref="M14:M46" si="2">L14</f>
        <v>-37.016899999999978</v>
      </c>
      <c r="N14" s="586">
        <f t="shared" ref="N14:N46" si="3">F14*70/100</f>
        <v>3506.7258072000004</v>
      </c>
      <c r="O14" s="586">
        <f t="shared" ref="O14:O46" si="4">N14*2000/100000</f>
        <v>70.134516144000017</v>
      </c>
      <c r="P14" s="586"/>
      <c r="Q14" s="586">
        <f t="shared" ref="Q14:Q46" si="5">F14-N14</f>
        <v>1502.8824887999999</v>
      </c>
      <c r="R14" s="586">
        <f t="shared" ref="R14:R46" si="6">Q14*3000/100000</f>
        <v>45.086474663999994</v>
      </c>
      <c r="S14" s="586">
        <f t="shared" ref="S14:S45" si="7">O14+R14</f>
        <v>115.22099080800001</v>
      </c>
      <c r="T14" s="151">
        <f t="shared" ref="T14:T45" si="8">F14*89.1/100</f>
        <v>4463.5609917360007</v>
      </c>
    </row>
    <row r="15" spans="1:20" ht="15">
      <c r="A15" s="158">
        <v>3</v>
      </c>
      <c r="B15" s="385" t="s">
        <v>891</v>
      </c>
      <c r="C15" s="513">
        <v>129.26620079999998</v>
      </c>
      <c r="D15" s="513">
        <v>48.0017</v>
      </c>
      <c r="E15" s="513">
        <v>107.21132259294912</v>
      </c>
      <c r="F15" s="513">
        <v>4078.6950599999996</v>
      </c>
      <c r="G15" s="513">
        <v>97.790294531122285</v>
      </c>
      <c r="H15" s="513">
        <v>4078.6950599999996</v>
      </c>
      <c r="I15" s="513">
        <v>97.790294531122285</v>
      </c>
      <c r="J15" s="514"/>
      <c r="K15" s="513">
        <f t="shared" si="0"/>
        <v>57.422728061826845</v>
      </c>
      <c r="L15" s="517">
        <v>0</v>
      </c>
      <c r="M15" s="517">
        <f t="shared" si="2"/>
        <v>0</v>
      </c>
      <c r="N15" s="586">
        <f t="shared" si="3"/>
        <v>2855.086542</v>
      </c>
      <c r="O15" s="586">
        <f t="shared" si="4"/>
        <v>57.101730839999995</v>
      </c>
      <c r="P15" s="586"/>
      <c r="Q15" s="586">
        <f t="shared" si="5"/>
        <v>1223.6085179999995</v>
      </c>
      <c r="R15" s="586">
        <f t="shared" si="6"/>
        <v>36.708255539999989</v>
      </c>
      <c r="S15" s="586">
        <f t="shared" si="7"/>
        <v>93.809986379999984</v>
      </c>
      <c r="T15" s="151">
        <f t="shared" si="8"/>
        <v>3634.1172984599993</v>
      </c>
    </row>
    <row r="16" spans="1:20" ht="15">
      <c r="A16" s="158">
        <v>4</v>
      </c>
      <c r="B16" s="385" t="s">
        <v>892</v>
      </c>
      <c r="C16" s="513">
        <v>52.472089600000004</v>
      </c>
      <c r="D16" s="513">
        <v>-38.11103</v>
      </c>
      <c r="E16" s="513">
        <v>55.741445120511479</v>
      </c>
      <c r="F16" s="513">
        <v>3610.1190509999997</v>
      </c>
      <c r="G16" s="513">
        <v>50.843252411137556</v>
      </c>
      <c r="H16" s="513">
        <v>3610.1190509999997</v>
      </c>
      <c r="I16" s="513">
        <v>50.843252411137556</v>
      </c>
      <c r="J16" s="514"/>
      <c r="K16" s="513">
        <f t="shared" si="0"/>
        <v>-33.212837290626076</v>
      </c>
      <c r="L16" s="517">
        <f t="shared" si="1"/>
        <v>-38.11103</v>
      </c>
      <c r="M16" s="517">
        <f t="shared" si="2"/>
        <v>-38.11103</v>
      </c>
      <c r="N16" s="586">
        <f t="shared" si="3"/>
        <v>2527.0833356999997</v>
      </c>
      <c r="O16" s="586">
        <f t="shared" si="4"/>
        <v>50.541666713999994</v>
      </c>
      <c r="P16" s="586"/>
      <c r="Q16" s="586">
        <f t="shared" si="5"/>
        <v>1083.0357153</v>
      </c>
      <c r="R16" s="586">
        <f t="shared" si="6"/>
        <v>32.491071458999997</v>
      </c>
      <c r="S16" s="586">
        <f t="shared" si="7"/>
        <v>83.032738172999984</v>
      </c>
      <c r="T16" s="151">
        <f t="shared" si="8"/>
        <v>3216.6160744409995</v>
      </c>
    </row>
    <row r="17" spans="1:26" ht="15">
      <c r="A17" s="158">
        <v>5</v>
      </c>
      <c r="B17" s="385" t="s">
        <v>893</v>
      </c>
      <c r="C17" s="513">
        <v>222.25811720000002</v>
      </c>
      <c r="D17" s="513">
        <v>25.664200000000022</v>
      </c>
      <c r="E17" s="513">
        <v>175.1543750658409</v>
      </c>
      <c r="F17" s="513">
        <v>7379.0570699999989</v>
      </c>
      <c r="G17" s="513">
        <v>159.76295704451755</v>
      </c>
      <c r="H17" s="513">
        <v>7379.0570699999989</v>
      </c>
      <c r="I17" s="513">
        <v>159.76295704451755</v>
      </c>
      <c r="J17" s="514"/>
      <c r="K17" s="513">
        <f t="shared" si="0"/>
        <v>41.055618021323369</v>
      </c>
      <c r="L17" s="517">
        <v>0</v>
      </c>
      <c r="M17" s="517">
        <f t="shared" si="2"/>
        <v>0</v>
      </c>
      <c r="N17" s="586">
        <f t="shared" si="3"/>
        <v>5165.3399489999993</v>
      </c>
      <c r="O17" s="586">
        <f t="shared" si="4"/>
        <v>103.30679897999998</v>
      </c>
      <c r="P17" s="586"/>
      <c r="Q17" s="586">
        <f t="shared" si="5"/>
        <v>2213.7171209999997</v>
      </c>
      <c r="R17" s="586">
        <f t="shared" si="6"/>
        <v>66.411513629999988</v>
      </c>
      <c r="S17" s="586">
        <f t="shared" si="7"/>
        <v>169.71831260999997</v>
      </c>
      <c r="T17" s="151">
        <f t="shared" si="8"/>
        <v>6574.7398493699984</v>
      </c>
    </row>
    <row r="18" spans="1:26" s="155" customFormat="1" ht="15">
      <c r="A18" s="158">
        <v>6</v>
      </c>
      <c r="B18" s="385" t="s">
        <v>894</v>
      </c>
      <c r="C18" s="515">
        <v>96.757954799999993</v>
      </c>
      <c r="D18" s="515">
        <v>17.778900000000007</v>
      </c>
      <c r="E18" s="515">
        <v>97.4620976079336</v>
      </c>
      <c r="F18" s="515">
        <v>3333.3111899999994</v>
      </c>
      <c r="G18" s="515">
        <v>88.89776751366766</v>
      </c>
      <c r="H18" s="515">
        <v>3333.3111899999994</v>
      </c>
      <c r="I18" s="515">
        <v>88.89776751366766</v>
      </c>
      <c r="J18" s="514"/>
      <c r="K18" s="513">
        <f t="shared" si="0"/>
        <v>26.343230094265948</v>
      </c>
      <c r="L18" s="517">
        <v>0</v>
      </c>
      <c r="M18" s="517">
        <f t="shared" si="2"/>
        <v>0</v>
      </c>
      <c r="N18" s="586">
        <f t="shared" si="3"/>
        <v>2333.3178329999996</v>
      </c>
      <c r="O18" s="586">
        <f t="shared" si="4"/>
        <v>46.666356659999991</v>
      </c>
      <c r="P18" s="586"/>
      <c r="Q18" s="586">
        <f t="shared" si="5"/>
        <v>999.99335699999983</v>
      </c>
      <c r="R18" s="586">
        <f t="shared" si="6"/>
        <v>29.999800709999995</v>
      </c>
      <c r="S18" s="586">
        <f t="shared" si="7"/>
        <v>76.666157369999979</v>
      </c>
      <c r="T18" s="151">
        <f t="shared" si="8"/>
        <v>2969.9802702899992</v>
      </c>
    </row>
    <row r="19" spans="1:26" s="155" customFormat="1" ht="15">
      <c r="A19" s="158">
        <v>7</v>
      </c>
      <c r="B19" s="385" t="s">
        <v>895</v>
      </c>
      <c r="C19" s="515">
        <v>132.59222159999999</v>
      </c>
      <c r="D19" s="515">
        <v>27.747489999999999</v>
      </c>
      <c r="E19" s="515">
        <v>136.51930203243913</v>
      </c>
      <c r="F19" s="515">
        <v>5186.26152</v>
      </c>
      <c r="G19" s="515">
        <v>124.52288090524368</v>
      </c>
      <c r="H19" s="515">
        <v>5186.26152</v>
      </c>
      <c r="I19" s="515">
        <v>124.52288090524368</v>
      </c>
      <c r="J19" s="514"/>
      <c r="K19" s="513">
        <f t="shared" si="0"/>
        <v>39.743911127195446</v>
      </c>
      <c r="L19" s="517">
        <v>0</v>
      </c>
      <c r="M19" s="517">
        <f t="shared" si="2"/>
        <v>0</v>
      </c>
      <c r="N19" s="586">
        <f t="shared" si="3"/>
        <v>3630.3830640000001</v>
      </c>
      <c r="O19" s="586">
        <f t="shared" si="4"/>
        <v>72.607661280000002</v>
      </c>
      <c r="P19" s="586"/>
      <c r="Q19" s="586">
        <f t="shared" si="5"/>
        <v>1555.8784559999999</v>
      </c>
      <c r="R19" s="586">
        <f t="shared" si="6"/>
        <v>46.676353679999998</v>
      </c>
      <c r="S19" s="586">
        <f t="shared" si="7"/>
        <v>119.28401496000001</v>
      </c>
      <c r="T19" s="151">
        <f t="shared" si="8"/>
        <v>4620.9590143200003</v>
      </c>
      <c r="Z19" s="155">
        <v>8</v>
      </c>
    </row>
    <row r="20" spans="1:26" ht="15.75" customHeight="1">
      <c r="A20" s="158">
        <v>8</v>
      </c>
      <c r="B20" s="385" t="s">
        <v>896</v>
      </c>
      <c r="C20" s="513">
        <v>88.55583279999999</v>
      </c>
      <c r="D20" s="513">
        <v>-23.042699999999996</v>
      </c>
      <c r="E20" s="513">
        <v>88.567186152532841</v>
      </c>
      <c r="F20" s="516">
        <v>3401.0895599999994</v>
      </c>
      <c r="G20" s="516">
        <v>80.784482554443585</v>
      </c>
      <c r="H20" s="516">
        <v>3401.0895599999994</v>
      </c>
      <c r="I20" s="516">
        <v>80.784482554443585</v>
      </c>
      <c r="J20" s="514"/>
      <c r="K20" s="513">
        <f t="shared" si="0"/>
        <v>-15.25999640191074</v>
      </c>
      <c r="L20" s="517">
        <f t="shared" si="1"/>
        <v>-23.042699999999996</v>
      </c>
      <c r="M20" s="517">
        <f t="shared" si="2"/>
        <v>-23.042699999999996</v>
      </c>
      <c r="N20" s="586">
        <f t="shared" si="3"/>
        <v>2380.7626919999993</v>
      </c>
      <c r="O20" s="586">
        <f t="shared" si="4"/>
        <v>47.615253839999987</v>
      </c>
      <c r="P20" s="586"/>
      <c r="Q20" s="586">
        <f t="shared" si="5"/>
        <v>1020.3268680000001</v>
      </c>
      <c r="R20" s="586">
        <f t="shared" si="6"/>
        <v>30.609806040000002</v>
      </c>
      <c r="S20" s="586">
        <f t="shared" si="7"/>
        <v>78.225059879999989</v>
      </c>
      <c r="T20" s="151">
        <f t="shared" si="8"/>
        <v>3030.370797959999</v>
      </c>
    </row>
    <row r="21" spans="1:26" ht="15.75" customHeight="1">
      <c r="A21" s="158">
        <v>9</v>
      </c>
      <c r="B21" s="385" t="s">
        <v>897</v>
      </c>
      <c r="C21" s="513">
        <v>51.637805999999998</v>
      </c>
      <c r="D21" s="513">
        <v>-30.029360000000008</v>
      </c>
      <c r="E21" s="513">
        <v>49.901960876909392</v>
      </c>
      <c r="F21" s="516">
        <v>2216.6315819999995</v>
      </c>
      <c r="G21" s="516">
        <v>45.516903754291015</v>
      </c>
      <c r="H21" s="516">
        <v>2216.6315819999995</v>
      </c>
      <c r="I21" s="516">
        <v>45.516903754291015</v>
      </c>
      <c r="J21" s="514"/>
      <c r="K21" s="513">
        <f t="shared" si="0"/>
        <v>-25.64430287738163</v>
      </c>
      <c r="L21" s="517">
        <f t="shared" si="1"/>
        <v>-30.029360000000008</v>
      </c>
      <c r="M21" s="517">
        <f t="shared" si="2"/>
        <v>-30.029360000000008</v>
      </c>
      <c r="N21" s="586">
        <f t="shared" si="3"/>
        <v>1551.6421073999998</v>
      </c>
      <c r="O21" s="586">
        <f t="shared" si="4"/>
        <v>31.032842147999997</v>
      </c>
      <c r="P21" s="586"/>
      <c r="Q21" s="586">
        <f t="shared" si="5"/>
        <v>664.98947459999977</v>
      </c>
      <c r="R21" s="586">
        <f t="shared" si="6"/>
        <v>19.949684237999993</v>
      </c>
      <c r="S21" s="586">
        <f t="shared" si="7"/>
        <v>50.982526385999989</v>
      </c>
      <c r="T21" s="151">
        <f t="shared" si="8"/>
        <v>1975.0187395619994</v>
      </c>
    </row>
    <row r="22" spans="1:26" ht="15.75" customHeight="1">
      <c r="A22" s="158">
        <v>10</v>
      </c>
      <c r="B22" s="385" t="s">
        <v>898</v>
      </c>
      <c r="C22" s="513">
        <v>74.174135199999995</v>
      </c>
      <c r="D22" s="513">
        <v>-6.2516000000000105</v>
      </c>
      <c r="E22" s="513">
        <v>70.96832744246872</v>
      </c>
      <c r="F22" s="516">
        <v>2703.0266999999999</v>
      </c>
      <c r="G22" s="516">
        <v>64.732096154894023</v>
      </c>
      <c r="H22" s="516">
        <v>2703.0266999999999</v>
      </c>
      <c r="I22" s="516">
        <v>64.732096154894023</v>
      </c>
      <c r="J22" s="514"/>
      <c r="K22" s="513">
        <f t="shared" si="0"/>
        <v>-1.5368712425313902E-2</v>
      </c>
      <c r="L22" s="517">
        <f t="shared" si="1"/>
        <v>-6.2516000000000105</v>
      </c>
      <c r="M22" s="517">
        <f t="shared" si="2"/>
        <v>-6.2516000000000105</v>
      </c>
      <c r="N22" s="586">
        <f t="shared" si="3"/>
        <v>1892.11869</v>
      </c>
      <c r="O22" s="586">
        <f t="shared" si="4"/>
        <v>37.842373799999997</v>
      </c>
      <c r="P22" s="586"/>
      <c r="Q22" s="586">
        <f t="shared" si="5"/>
        <v>810.90800999999988</v>
      </c>
      <c r="R22" s="586">
        <f t="shared" si="6"/>
        <v>24.3272403</v>
      </c>
      <c r="S22" s="586">
        <f t="shared" si="7"/>
        <v>62.169614099999997</v>
      </c>
      <c r="T22" s="151">
        <f t="shared" si="8"/>
        <v>2408.3967896999998</v>
      </c>
    </row>
    <row r="23" spans="1:26" ht="15.75" customHeight="1">
      <c r="A23" s="158">
        <v>11</v>
      </c>
      <c r="B23" s="385" t="s">
        <v>899</v>
      </c>
      <c r="C23" s="513">
        <v>83.280203199999988</v>
      </c>
      <c r="D23" s="513">
        <v>-10.170179999999981</v>
      </c>
      <c r="E23" s="513">
        <v>91.602511869517059</v>
      </c>
      <c r="F23" s="516">
        <v>3299.3899289999999</v>
      </c>
      <c r="G23" s="516">
        <v>83.553083749568643</v>
      </c>
      <c r="H23" s="516">
        <v>3299.3899289999999</v>
      </c>
      <c r="I23" s="516">
        <v>83.553083749568643</v>
      </c>
      <c r="J23" s="514"/>
      <c r="K23" s="513">
        <f t="shared" si="0"/>
        <v>-2.1207518800515714</v>
      </c>
      <c r="L23" s="517">
        <f t="shared" si="1"/>
        <v>-10.170179999999981</v>
      </c>
      <c r="M23" s="517">
        <f t="shared" si="2"/>
        <v>-10.170179999999981</v>
      </c>
      <c r="N23" s="586">
        <f t="shared" si="3"/>
        <v>2309.5729503000002</v>
      </c>
      <c r="O23" s="586">
        <f t="shared" si="4"/>
        <v>46.191459006000002</v>
      </c>
      <c r="P23" s="586"/>
      <c r="Q23" s="586">
        <f t="shared" si="5"/>
        <v>989.81697869999971</v>
      </c>
      <c r="R23" s="586">
        <f t="shared" si="6"/>
        <v>29.694509360999991</v>
      </c>
      <c r="S23" s="586">
        <f t="shared" si="7"/>
        <v>75.88596836699999</v>
      </c>
      <c r="T23" s="151">
        <f t="shared" si="8"/>
        <v>2939.7564267389998</v>
      </c>
    </row>
    <row r="24" spans="1:26" ht="15.75" customHeight="1">
      <c r="A24" s="158">
        <v>12</v>
      </c>
      <c r="B24" s="385" t="s">
        <v>900</v>
      </c>
      <c r="C24" s="513">
        <v>63.878589999999996</v>
      </c>
      <c r="D24" s="513">
        <v>1.5986999999999938</v>
      </c>
      <c r="E24" s="513">
        <v>64.576052091468853</v>
      </c>
      <c r="F24" s="516">
        <v>2760.1950419999998</v>
      </c>
      <c r="G24" s="516">
        <v>58.901532048604182</v>
      </c>
      <c r="H24" s="516">
        <v>2760.1950419999998</v>
      </c>
      <c r="I24" s="516">
        <v>58.901532048604182</v>
      </c>
      <c r="J24" s="514"/>
      <c r="K24" s="513">
        <f t="shared" si="0"/>
        <v>7.2732200428646649</v>
      </c>
      <c r="L24" s="517">
        <v>0</v>
      </c>
      <c r="M24" s="517">
        <f t="shared" si="2"/>
        <v>0</v>
      </c>
      <c r="N24" s="586">
        <f t="shared" si="3"/>
        <v>1932.1365294</v>
      </c>
      <c r="O24" s="586">
        <f t="shared" si="4"/>
        <v>38.642730587999999</v>
      </c>
      <c r="P24" s="586"/>
      <c r="Q24" s="586">
        <f t="shared" si="5"/>
        <v>828.05851259999986</v>
      </c>
      <c r="R24" s="586">
        <f t="shared" si="6"/>
        <v>24.841755377999995</v>
      </c>
      <c r="S24" s="586">
        <f t="shared" si="7"/>
        <v>63.484485965999994</v>
      </c>
      <c r="T24" s="151">
        <f t="shared" si="8"/>
        <v>2459.3337824219998</v>
      </c>
    </row>
    <row r="25" spans="1:26" ht="15.75" customHeight="1">
      <c r="A25" s="158">
        <v>13</v>
      </c>
      <c r="B25" s="385" t="s">
        <v>901</v>
      </c>
      <c r="C25" s="513">
        <v>67.498532400000002</v>
      </c>
      <c r="D25" s="513">
        <v>-35.337519999999998</v>
      </c>
      <c r="E25" s="513">
        <v>47.258614308807246</v>
      </c>
      <c r="F25" s="516">
        <v>2028.8836260000003</v>
      </c>
      <c r="G25" s="516">
        <v>43.105837150589402</v>
      </c>
      <c r="H25" s="516">
        <v>2028.8836260000003</v>
      </c>
      <c r="I25" s="516">
        <v>43.105837150589402</v>
      </c>
      <c r="J25" s="514"/>
      <c r="K25" s="513">
        <f t="shared" si="0"/>
        <v>-31.184742841782153</v>
      </c>
      <c r="L25" s="517">
        <f t="shared" si="1"/>
        <v>-35.337519999999998</v>
      </c>
      <c r="M25" s="517">
        <f t="shared" si="2"/>
        <v>-35.337519999999998</v>
      </c>
      <c r="N25" s="586">
        <f t="shared" si="3"/>
        <v>1420.2185382000002</v>
      </c>
      <c r="O25" s="586">
        <f t="shared" si="4"/>
        <v>28.404370764000006</v>
      </c>
      <c r="P25" s="586"/>
      <c r="Q25" s="586">
        <f t="shared" si="5"/>
        <v>608.66508780000004</v>
      </c>
      <c r="R25" s="586">
        <f t="shared" si="6"/>
        <v>18.259952634000001</v>
      </c>
      <c r="S25" s="586">
        <f t="shared" si="7"/>
        <v>46.664323398000008</v>
      </c>
      <c r="T25" s="151">
        <f t="shared" si="8"/>
        <v>1807.7353107660001</v>
      </c>
    </row>
    <row r="26" spans="1:26" ht="15.75" customHeight="1">
      <c r="A26" s="158">
        <v>14</v>
      </c>
      <c r="B26" s="385" t="s">
        <v>902</v>
      </c>
      <c r="C26" s="513">
        <v>100.81452920000001</v>
      </c>
      <c r="D26" s="513">
        <v>6.366100000000003</v>
      </c>
      <c r="E26" s="513">
        <v>85.622317162213719</v>
      </c>
      <c r="F26" s="516">
        <v>4144.2726599999996</v>
      </c>
      <c r="G26" s="516">
        <v>78.098389341954714</v>
      </c>
      <c r="H26" s="516">
        <v>4144.2726599999996</v>
      </c>
      <c r="I26" s="516">
        <v>78.098389341954714</v>
      </c>
      <c r="J26" s="514"/>
      <c r="K26" s="513">
        <f t="shared" si="0"/>
        <v>13.890027820259007</v>
      </c>
      <c r="L26" s="517">
        <f t="shared" si="1"/>
        <v>6.366100000000003</v>
      </c>
      <c r="M26" s="517">
        <f t="shared" si="2"/>
        <v>6.366100000000003</v>
      </c>
      <c r="N26" s="586">
        <f t="shared" si="3"/>
        <v>2900.9908619999997</v>
      </c>
      <c r="O26" s="586">
        <f t="shared" si="4"/>
        <v>58.019817239999995</v>
      </c>
      <c r="P26" s="586"/>
      <c r="Q26" s="586">
        <f t="shared" si="5"/>
        <v>1243.281798</v>
      </c>
      <c r="R26" s="586">
        <f t="shared" si="6"/>
        <v>37.298453940000002</v>
      </c>
      <c r="S26" s="586">
        <f t="shared" si="7"/>
        <v>95.318271179999996</v>
      </c>
      <c r="T26" s="151">
        <f t="shared" si="8"/>
        <v>3692.5469400599995</v>
      </c>
    </row>
    <row r="27" spans="1:26" ht="15.75" customHeight="1">
      <c r="A27" s="158">
        <v>15</v>
      </c>
      <c r="B27" s="385" t="s">
        <v>903</v>
      </c>
      <c r="C27" s="513">
        <v>67.312738400000001</v>
      </c>
      <c r="D27" s="513">
        <v>-15.561969999999995</v>
      </c>
      <c r="E27" s="513">
        <v>64.817270029242437</v>
      </c>
      <c r="F27" s="516">
        <v>2196.6892199999998</v>
      </c>
      <c r="G27" s="516">
        <v>59.12155333563399</v>
      </c>
      <c r="H27" s="516">
        <v>2196.6892199999998</v>
      </c>
      <c r="I27" s="516">
        <v>59.12155333563399</v>
      </c>
      <c r="J27" s="514"/>
      <c r="K27" s="513">
        <f t="shared" si="0"/>
        <v>-9.866253306391549</v>
      </c>
      <c r="L27" s="517">
        <f t="shared" si="1"/>
        <v>-15.561969999999995</v>
      </c>
      <c r="M27" s="517">
        <f t="shared" si="2"/>
        <v>-15.561969999999995</v>
      </c>
      <c r="N27" s="586">
        <f t="shared" si="3"/>
        <v>1537.6824539999998</v>
      </c>
      <c r="O27" s="586">
        <f t="shared" si="4"/>
        <v>30.753649079999995</v>
      </c>
      <c r="P27" s="586"/>
      <c r="Q27" s="586">
        <f t="shared" si="5"/>
        <v>659.00676599999997</v>
      </c>
      <c r="R27" s="586">
        <f t="shared" si="6"/>
        <v>19.770202980000001</v>
      </c>
      <c r="S27" s="586">
        <f t="shared" si="7"/>
        <v>50.523852059999996</v>
      </c>
      <c r="T27" s="151">
        <f t="shared" si="8"/>
        <v>1957.2500950199997</v>
      </c>
    </row>
    <row r="28" spans="1:26" ht="15.75" customHeight="1">
      <c r="A28" s="158">
        <v>16</v>
      </c>
      <c r="B28" s="385" t="s">
        <v>904</v>
      </c>
      <c r="C28" s="513">
        <v>60.419877599999992</v>
      </c>
      <c r="D28" s="513">
        <v>-26.961710000000004</v>
      </c>
      <c r="E28" s="513">
        <v>72.063858909857061</v>
      </c>
      <c r="F28" s="516">
        <v>2973.7392300000001</v>
      </c>
      <c r="G28" s="516">
        <v>65.731359500154383</v>
      </c>
      <c r="H28" s="516">
        <v>2973.7392300000001</v>
      </c>
      <c r="I28" s="516">
        <v>65.731359500154383</v>
      </c>
      <c r="J28" s="514"/>
      <c r="K28" s="513">
        <f t="shared" si="0"/>
        <v>-20.629210590297326</v>
      </c>
      <c r="L28" s="517">
        <f t="shared" si="1"/>
        <v>-26.961710000000004</v>
      </c>
      <c r="M28" s="517">
        <f t="shared" si="2"/>
        <v>-26.961710000000004</v>
      </c>
      <c r="N28" s="586">
        <f t="shared" si="3"/>
        <v>2081.6174610000003</v>
      </c>
      <c r="O28" s="586">
        <f t="shared" si="4"/>
        <v>41.632349220000009</v>
      </c>
      <c r="P28" s="586"/>
      <c r="Q28" s="586">
        <f t="shared" si="5"/>
        <v>892.12176899999986</v>
      </c>
      <c r="R28" s="586">
        <f t="shared" si="6"/>
        <v>26.763653069999997</v>
      </c>
      <c r="S28" s="586">
        <f t="shared" si="7"/>
        <v>68.396002290000013</v>
      </c>
      <c r="T28" s="151">
        <f t="shared" si="8"/>
        <v>2649.6016539299999</v>
      </c>
    </row>
    <row r="29" spans="1:26" ht="15.75" customHeight="1">
      <c r="A29" s="158">
        <v>17</v>
      </c>
      <c r="B29" s="385" t="s">
        <v>905</v>
      </c>
      <c r="C29" s="513">
        <v>150.43921879999999</v>
      </c>
      <c r="D29" s="513">
        <v>36.609920000000017</v>
      </c>
      <c r="E29" s="513">
        <v>181.29538173165994</v>
      </c>
      <c r="F29" s="516">
        <v>5524.6107509999993</v>
      </c>
      <c r="G29" s="516">
        <v>165.36433231015133</v>
      </c>
      <c r="H29" s="516">
        <v>5524.6107509999993</v>
      </c>
      <c r="I29" s="516">
        <v>165.36433231015133</v>
      </c>
      <c r="J29" s="514"/>
      <c r="K29" s="513">
        <f t="shared" si="0"/>
        <v>52.540969421508635</v>
      </c>
      <c r="L29" s="517">
        <v>0</v>
      </c>
      <c r="M29" s="517">
        <f t="shared" si="2"/>
        <v>0</v>
      </c>
      <c r="N29" s="586">
        <f t="shared" si="3"/>
        <v>3867.2275256999997</v>
      </c>
      <c r="O29" s="586">
        <f t="shared" si="4"/>
        <v>77.344550513999991</v>
      </c>
      <c r="P29" s="586"/>
      <c r="Q29" s="586">
        <f t="shared" si="5"/>
        <v>1657.3832252999996</v>
      </c>
      <c r="R29" s="586">
        <f t="shared" si="6"/>
        <v>49.72149675899999</v>
      </c>
      <c r="S29" s="586">
        <f t="shared" si="7"/>
        <v>127.06604727299998</v>
      </c>
      <c r="T29" s="151">
        <f t="shared" si="8"/>
        <v>4922.4281791409994</v>
      </c>
    </row>
    <row r="30" spans="1:26" ht="15.75" customHeight="1">
      <c r="A30" s="158">
        <v>18</v>
      </c>
      <c r="B30" s="385" t="s">
        <v>906</v>
      </c>
      <c r="C30" s="513">
        <v>53.050898400000008</v>
      </c>
      <c r="D30" s="513">
        <v>11.193350000000009</v>
      </c>
      <c r="E30" s="513">
        <v>54.083071798318116</v>
      </c>
      <c r="F30" s="516">
        <v>1830.1897349999999</v>
      </c>
      <c r="G30" s="516">
        <v>49.330606062807647</v>
      </c>
      <c r="H30" s="516">
        <v>1830.1897349999999</v>
      </c>
      <c r="I30" s="516">
        <v>49.330606062807647</v>
      </c>
      <c r="J30" s="514"/>
      <c r="K30" s="513">
        <f t="shared" si="0"/>
        <v>15.945815735510479</v>
      </c>
      <c r="L30" s="517">
        <v>0</v>
      </c>
      <c r="M30" s="517">
        <f t="shared" si="2"/>
        <v>0</v>
      </c>
      <c r="N30" s="586">
        <f t="shared" si="3"/>
        <v>1281.1328145</v>
      </c>
      <c r="O30" s="586">
        <f t="shared" si="4"/>
        <v>25.622656290000002</v>
      </c>
      <c r="P30" s="586"/>
      <c r="Q30" s="586">
        <f t="shared" si="5"/>
        <v>549.05692049999993</v>
      </c>
      <c r="R30" s="586">
        <f t="shared" si="6"/>
        <v>16.471707614999996</v>
      </c>
      <c r="S30" s="586">
        <f t="shared" si="7"/>
        <v>42.094363904999994</v>
      </c>
      <c r="T30" s="151">
        <f t="shared" si="8"/>
        <v>1630.6990538849998</v>
      </c>
    </row>
    <row r="31" spans="1:26" ht="15.75" customHeight="1">
      <c r="A31" s="158">
        <v>19</v>
      </c>
      <c r="B31" s="385" t="s">
        <v>907</v>
      </c>
      <c r="C31" s="513">
        <v>94.763891599999994</v>
      </c>
      <c r="D31" s="513">
        <v>16.781400000000019</v>
      </c>
      <c r="E31" s="513">
        <v>85.531860435548623</v>
      </c>
      <c r="F31" s="516">
        <v>3170.8818899999997</v>
      </c>
      <c r="G31" s="516">
        <v>78.015881359318527</v>
      </c>
      <c r="H31" s="516">
        <v>3170.8818899999997</v>
      </c>
      <c r="I31" s="516">
        <v>78.015881359318527</v>
      </c>
      <c r="J31" s="514"/>
      <c r="K31" s="513">
        <f t="shared" si="0"/>
        <v>24.297379076230115</v>
      </c>
      <c r="L31" s="517">
        <v>0</v>
      </c>
      <c r="M31" s="517">
        <f t="shared" si="2"/>
        <v>0</v>
      </c>
      <c r="N31" s="586">
        <f t="shared" si="3"/>
        <v>2219.6173229999999</v>
      </c>
      <c r="O31" s="586">
        <f t="shared" si="4"/>
        <v>44.392346459999999</v>
      </c>
      <c r="P31" s="586"/>
      <c r="Q31" s="586">
        <f t="shared" si="5"/>
        <v>951.26456699999972</v>
      </c>
      <c r="R31" s="586">
        <f t="shared" si="6"/>
        <v>28.53793700999999</v>
      </c>
      <c r="S31" s="586">
        <f t="shared" si="7"/>
        <v>72.930283469999992</v>
      </c>
      <c r="T31" s="151">
        <f t="shared" si="8"/>
        <v>2825.2557639899997</v>
      </c>
    </row>
    <row r="32" spans="1:26" ht="15.75" customHeight="1">
      <c r="A32" s="158">
        <v>20</v>
      </c>
      <c r="B32" s="385" t="s">
        <v>908</v>
      </c>
      <c r="C32" s="513">
        <v>72.260645599999989</v>
      </c>
      <c r="D32" s="513">
        <v>49.521000000000015</v>
      </c>
      <c r="E32" s="513">
        <v>80.305471783787709</v>
      </c>
      <c r="F32" s="516">
        <v>2618.2034999999996</v>
      </c>
      <c r="G32" s="516">
        <v>73.248753473672735</v>
      </c>
      <c r="H32" s="516">
        <v>2618.2034999999996</v>
      </c>
      <c r="I32" s="516">
        <v>73.248753473672735</v>
      </c>
      <c r="J32" s="514"/>
      <c r="K32" s="513">
        <f t="shared" si="0"/>
        <v>56.577718310114989</v>
      </c>
      <c r="L32" s="517">
        <v>0</v>
      </c>
      <c r="M32" s="517">
        <f t="shared" si="2"/>
        <v>0</v>
      </c>
      <c r="N32" s="586">
        <f t="shared" si="3"/>
        <v>1832.7424499999997</v>
      </c>
      <c r="O32" s="586">
        <f t="shared" si="4"/>
        <v>36.654848999999992</v>
      </c>
      <c r="P32" s="586"/>
      <c r="Q32" s="586">
        <f t="shared" si="5"/>
        <v>785.46104999999989</v>
      </c>
      <c r="R32" s="586">
        <f t="shared" si="6"/>
        <v>23.563831499999996</v>
      </c>
      <c r="S32" s="586">
        <f t="shared" si="7"/>
        <v>60.218680499999991</v>
      </c>
      <c r="T32" s="151">
        <f t="shared" si="8"/>
        <v>2332.8193184999996</v>
      </c>
    </row>
    <row r="33" spans="1:20" ht="15.75" customHeight="1">
      <c r="A33" s="158">
        <v>21</v>
      </c>
      <c r="B33" s="385" t="s">
        <v>909</v>
      </c>
      <c r="C33" s="513">
        <v>51.717984000000001</v>
      </c>
      <c r="D33" s="513">
        <v>-2.5512000000000015</v>
      </c>
      <c r="E33" s="513">
        <v>52.39454623390305</v>
      </c>
      <c r="F33" s="516">
        <v>2047.7229299999997</v>
      </c>
      <c r="G33" s="516">
        <v>47.790457053598999</v>
      </c>
      <c r="H33" s="516">
        <v>2047.7229299999997</v>
      </c>
      <c r="I33" s="516">
        <v>47.790457053598999</v>
      </c>
      <c r="J33" s="514"/>
      <c r="K33" s="513">
        <f t="shared" si="0"/>
        <v>2.0528891803040494</v>
      </c>
      <c r="L33" s="517">
        <f t="shared" si="1"/>
        <v>-2.5512000000000015</v>
      </c>
      <c r="M33" s="517">
        <f t="shared" si="2"/>
        <v>-2.5512000000000015</v>
      </c>
      <c r="N33" s="586">
        <f t="shared" si="3"/>
        <v>1433.4060509999999</v>
      </c>
      <c r="O33" s="586">
        <f t="shared" si="4"/>
        <v>28.668121020000001</v>
      </c>
      <c r="P33" s="586"/>
      <c r="Q33" s="586">
        <f t="shared" si="5"/>
        <v>614.31687899999974</v>
      </c>
      <c r="R33" s="586">
        <f t="shared" si="6"/>
        <v>18.429506369999991</v>
      </c>
      <c r="S33" s="586">
        <f t="shared" si="7"/>
        <v>47.097627389999992</v>
      </c>
      <c r="T33" s="151">
        <f t="shared" si="8"/>
        <v>1824.5211306299998</v>
      </c>
    </row>
    <row r="34" spans="1:20" ht="15.75" customHeight="1">
      <c r="A34" s="158">
        <v>22</v>
      </c>
      <c r="B34" s="385" t="s">
        <v>910</v>
      </c>
      <c r="C34" s="513">
        <v>144.17542639999999</v>
      </c>
      <c r="D34" s="513">
        <v>31.699179999999984</v>
      </c>
      <c r="E34" s="513">
        <v>135.1222481428338</v>
      </c>
      <c r="F34" s="516">
        <v>4847.8677389999993</v>
      </c>
      <c r="G34" s="516">
        <v>123.24859095119604</v>
      </c>
      <c r="H34" s="516">
        <v>4847.8677389999993</v>
      </c>
      <c r="I34" s="516">
        <v>123.24859095119604</v>
      </c>
      <c r="J34" s="514"/>
      <c r="K34" s="513">
        <f t="shared" si="0"/>
        <v>43.572837191637745</v>
      </c>
      <c r="L34" s="517">
        <v>0</v>
      </c>
      <c r="M34" s="517">
        <f t="shared" si="2"/>
        <v>0</v>
      </c>
      <c r="N34" s="586">
        <f t="shared" si="3"/>
        <v>3393.5074172999994</v>
      </c>
      <c r="O34" s="586">
        <f t="shared" si="4"/>
        <v>67.870148345999993</v>
      </c>
      <c r="P34" s="586"/>
      <c r="Q34" s="586">
        <f t="shared" si="5"/>
        <v>1454.3603217</v>
      </c>
      <c r="R34" s="586">
        <f t="shared" si="6"/>
        <v>43.630809651</v>
      </c>
      <c r="S34" s="586">
        <f t="shared" si="7"/>
        <v>111.500957997</v>
      </c>
      <c r="T34" s="151">
        <f t="shared" si="8"/>
        <v>4319.4501554489989</v>
      </c>
    </row>
    <row r="35" spans="1:20" ht="15.75" customHeight="1">
      <c r="A35" s="158">
        <v>23</v>
      </c>
      <c r="B35" s="385" t="s">
        <v>911</v>
      </c>
      <c r="C35" s="513">
        <v>60.324280399999999</v>
      </c>
      <c r="D35" s="513">
        <v>5.9806700000000035</v>
      </c>
      <c r="E35" s="513">
        <v>54.183579272390432</v>
      </c>
      <c r="F35" s="516">
        <v>2072.2334489999994</v>
      </c>
      <c r="G35" s="516">
        <v>49.422281599070054</v>
      </c>
      <c r="H35" s="516">
        <v>2072.2334489999994</v>
      </c>
      <c r="I35" s="516">
        <v>49.422281599070054</v>
      </c>
      <c r="J35" s="514"/>
      <c r="K35" s="513">
        <f t="shared" si="0"/>
        <v>10.741967673320381</v>
      </c>
      <c r="L35" s="517">
        <v>0</v>
      </c>
      <c r="M35" s="517">
        <f t="shared" si="2"/>
        <v>0</v>
      </c>
      <c r="N35" s="586">
        <f t="shared" si="3"/>
        <v>1450.5634142999997</v>
      </c>
      <c r="O35" s="586">
        <f t="shared" si="4"/>
        <v>29.011268285999996</v>
      </c>
      <c r="P35" s="586"/>
      <c r="Q35" s="586">
        <f t="shared" si="5"/>
        <v>621.67003469999963</v>
      </c>
      <c r="R35" s="586">
        <f t="shared" si="6"/>
        <v>18.650101040999989</v>
      </c>
      <c r="S35" s="586">
        <f t="shared" si="7"/>
        <v>47.661369326999989</v>
      </c>
      <c r="T35" s="151">
        <f t="shared" si="8"/>
        <v>1846.3600030589994</v>
      </c>
    </row>
    <row r="36" spans="1:20" ht="15.75" customHeight="1">
      <c r="A36" s="158">
        <v>24</v>
      </c>
      <c r="B36" s="385" t="s">
        <v>912</v>
      </c>
      <c r="C36" s="513">
        <v>48.551730399999997</v>
      </c>
      <c r="D36" s="513">
        <v>4.261099999999999</v>
      </c>
      <c r="E36" s="513">
        <v>50.354244510234849</v>
      </c>
      <c r="F36" s="516">
        <v>1804.3640999999998</v>
      </c>
      <c r="G36" s="516">
        <v>45.929443667471894</v>
      </c>
      <c r="H36" s="516">
        <v>1804.3640999999998</v>
      </c>
      <c r="I36" s="516">
        <v>45.929443667471894</v>
      </c>
      <c r="J36" s="514"/>
      <c r="K36" s="513">
        <f t="shared" si="0"/>
        <v>8.6859008427629547</v>
      </c>
      <c r="L36" s="517">
        <v>0</v>
      </c>
      <c r="M36" s="517">
        <f t="shared" si="2"/>
        <v>0</v>
      </c>
      <c r="N36" s="586">
        <f t="shared" si="3"/>
        <v>1263.0548699999997</v>
      </c>
      <c r="O36" s="586">
        <f t="shared" si="4"/>
        <v>25.261097399999993</v>
      </c>
      <c r="P36" s="586"/>
      <c r="Q36" s="586">
        <f t="shared" si="5"/>
        <v>541.30923000000007</v>
      </c>
      <c r="R36" s="586">
        <f t="shared" si="6"/>
        <v>16.2392769</v>
      </c>
      <c r="S36" s="586">
        <f t="shared" si="7"/>
        <v>41.50037429999999</v>
      </c>
      <c r="T36" s="151">
        <f t="shared" si="8"/>
        <v>1607.6884130999997</v>
      </c>
    </row>
    <row r="37" spans="1:20" ht="15.75" customHeight="1">
      <c r="A37" s="158">
        <v>25</v>
      </c>
      <c r="B37" s="385" t="s">
        <v>913</v>
      </c>
      <c r="C37" s="513">
        <v>127.87827040000002</v>
      </c>
      <c r="D37" s="513">
        <v>86.420359999999988</v>
      </c>
      <c r="E37" s="513">
        <v>109.15111684254502</v>
      </c>
      <c r="F37" s="516">
        <v>4846.48758</v>
      </c>
      <c r="G37" s="516">
        <v>99.559632380986997</v>
      </c>
      <c r="H37" s="516">
        <v>4846.48758</v>
      </c>
      <c r="I37" s="516">
        <v>99.559632380986997</v>
      </c>
      <c r="J37" s="514"/>
      <c r="K37" s="513">
        <f t="shared" si="0"/>
        <v>96.011844461557999</v>
      </c>
      <c r="L37" s="517">
        <v>0</v>
      </c>
      <c r="M37" s="517">
        <f t="shared" si="2"/>
        <v>0</v>
      </c>
      <c r="N37" s="586">
        <f t="shared" si="3"/>
        <v>3392.5413059999996</v>
      </c>
      <c r="O37" s="586">
        <f t="shared" si="4"/>
        <v>67.850826119999994</v>
      </c>
      <c r="P37" s="586"/>
      <c r="Q37" s="586">
        <f t="shared" si="5"/>
        <v>1453.9462740000004</v>
      </c>
      <c r="R37" s="586">
        <f t="shared" si="6"/>
        <v>43.618388220000007</v>
      </c>
      <c r="S37" s="586">
        <f t="shared" si="7"/>
        <v>111.46921434000001</v>
      </c>
      <c r="T37" s="151">
        <f t="shared" si="8"/>
        <v>4318.2204337799994</v>
      </c>
    </row>
    <row r="38" spans="1:20" ht="15.75" customHeight="1">
      <c r="A38" s="158">
        <v>26</v>
      </c>
      <c r="B38" s="385" t="s">
        <v>914</v>
      </c>
      <c r="C38" s="513">
        <v>92.937912399999988</v>
      </c>
      <c r="D38" s="513">
        <v>-13.015500000000003</v>
      </c>
      <c r="E38" s="513">
        <v>83.953893092613114</v>
      </c>
      <c r="F38" s="516">
        <v>3526.56909</v>
      </c>
      <c r="G38" s="516">
        <v>76.57657543999855</v>
      </c>
      <c r="H38" s="516">
        <v>3526.56909</v>
      </c>
      <c r="I38" s="516">
        <v>76.57657543999855</v>
      </c>
      <c r="J38" s="514"/>
      <c r="K38" s="513">
        <f t="shared" si="0"/>
        <v>-5.6381823473854382</v>
      </c>
      <c r="L38" s="517">
        <f t="shared" si="1"/>
        <v>-13.015500000000003</v>
      </c>
      <c r="M38" s="517">
        <f t="shared" si="2"/>
        <v>-13.015500000000003</v>
      </c>
      <c r="N38" s="586">
        <f t="shared" si="3"/>
        <v>2468.5983630000001</v>
      </c>
      <c r="O38" s="586">
        <f t="shared" si="4"/>
        <v>49.371967259999998</v>
      </c>
      <c r="P38" s="586"/>
      <c r="Q38" s="586">
        <f t="shared" si="5"/>
        <v>1057.9707269999999</v>
      </c>
      <c r="R38" s="586">
        <f t="shared" si="6"/>
        <v>31.73912181</v>
      </c>
      <c r="S38" s="586">
        <f t="shared" si="7"/>
        <v>81.111089069999991</v>
      </c>
      <c r="T38" s="151">
        <f t="shared" si="8"/>
        <v>3142.1730591899995</v>
      </c>
    </row>
    <row r="39" spans="1:20" ht="15.75" customHeight="1">
      <c r="A39" s="158">
        <v>27</v>
      </c>
      <c r="B39" s="385" t="s">
        <v>915</v>
      </c>
      <c r="C39" s="513">
        <v>57.312908799999995</v>
      </c>
      <c r="D39" s="513">
        <v>-41.28240000000001</v>
      </c>
      <c r="E39" s="513">
        <v>46.042473872532099</v>
      </c>
      <c r="F39" s="516">
        <v>2328.9938099999995</v>
      </c>
      <c r="G39" s="516">
        <v>41.996563161814116</v>
      </c>
      <c r="H39" s="516">
        <v>2328.9938099999995</v>
      </c>
      <c r="I39" s="516">
        <v>41.996563161814116</v>
      </c>
      <c r="J39" s="514"/>
      <c r="K39" s="513">
        <f t="shared" si="0"/>
        <v>-37.236489289282027</v>
      </c>
      <c r="L39" s="517">
        <f t="shared" si="1"/>
        <v>-41.28240000000001</v>
      </c>
      <c r="M39" s="517">
        <f t="shared" si="2"/>
        <v>-41.28240000000001</v>
      </c>
      <c r="N39" s="586">
        <f t="shared" si="3"/>
        <v>1630.2956669999996</v>
      </c>
      <c r="O39" s="586">
        <f t="shared" si="4"/>
        <v>32.605913339999994</v>
      </c>
      <c r="P39" s="586"/>
      <c r="Q39" s="586">
        <f t="shared" si="5"/>
        <v>698.69814299999985</v>
      </c>
      <c r="R39" s="586">
        <f t="shared" si="6"/>
        <v>20.960944289999997</v>
      </c>
      <c r="S39" s="586">
        <f t="shared" si="7"/>
        <v>53.566857629999987</v>
      </c>
      <c r="T39" s="151">
        <f t="shared" si="8"/>
        <v>2075.1334847099993</v>
      </c>
    </row>
    <row r="40" spans="1:20" ht="15.75" customHeight="1">
      <c r="A40" s="158">
        <v>28</v>
      </c>
      <c r="B40" s="385" t="s">
        <v>916</v>
      </c>
      <c r="C40" s="513">
        <v>66.335551199999998</v>
      </c>
      <c r="D40" s="513">
        <v>-36.967699999999994</v>
      </c>
      <c r="E40" s="513">
        <v>54.253934504241059</v>
      </c>
      <c r="F40" s="516">
        <v>2670.842889</v>
      </c>
      <c r="G40" s="516">
        <v>49.486454474453751</v>
      </c>
      <c r="H40" s="516">
        <v>2670.842889</v>
      </c>
      <c r="I40" s="516">
        <v>49.486454474453751</v>
      </c>
      <c r="J40" s="514"/>
      <c r="K40" s="513">
        <f t="shared" si="0"/>
        <v>-32.200219970212686</v>
      </c>
      <c r="L40" s="517">
        <f t="shared" si="1"/>
        <v>-36.967699999999994</v>
      </c>
      <c r="M40" s="517">
        <f t="shared" si="2"/>
        <v>-36.967699999999994</v>
      </c>
      <c r="N40" s="586">
        <f t="shared" si="3"/>
        <v>1869.5900223000001</v>
      </c>
      <c r="O40" s="586">
        <f t="shared" si="4"/>
        <v>37.391800446000005</v>
      </c>
      <c r="P40" s="586"/>
      <c r="Q40" s="586">
        <f t="shared" si="5"/>
        <v>801.25286669999991</v>
      </c>
      <c r="R40" s="586">
        <f t="shared" si="6"/>
        <v>24.037586000999998</v>
      </c>
      <c r="S40" s="586">
        <f t="shared" si="7"/>
        <v>61.429386446999999</v>
      </c>
      <c r="T40" s="151">
        <f t="shared" si="8"/>
        <v>2379.7210140989996</v>
      </c>
    </row>
    <row r="41" spans="1:20" ht="15.75" customHeight="1">
      <c r="A41" s="158">
        <v>29</v>
      </c>
      <c r="B41" s="385" t="s">
        <v>917</v>
      </c>
      <c r="C41" s="513">
        <v>60.968041199999995</v>
      </c>
      <c r="D41" s="513">
        <v>7.5587499999999963</v>
      </c>
      <c r="E41" s="513">
        <v>55.89220633161996</v>
      </c>
      <c r="F41" s="516">
        <v>2092.77189</v>
      </c>
      <c r="G41" s="516">
        <v>50.980765715531177</v>
      </c>
      <c r="H41" s="516">
        <v>2092.77189</v>
      </c>
      <c r="I41" s="516">
        <v>50.980765715531177</v>
      </c>
      <c r="J41" s="514"/>
      <c r="K41" s="513">
        <f t="shared" si="0"/>
        <v>12.470190616088779</v>
      </c>
      <c r="L41" s="517">
        <v>0</v>
      </c>
      <c r="M41" s="517">
        <f t="shared" si="2"/>
        <v>0</v>
      </c>
      <c r="N41" s="586">
        <f t="shared" si="3"/>
        <v>1464.9403229999998</v>
      </c>
      <c r="O41" s="586">
        <f t="shared" si="4"/>
        <v>29.298806459999998</v>
      </c>
      <c r="P41" s="586"/>
      <c r="Q41" s="586">
        <f t="shared" si="5"/>
        <v>627.83156700000018</v>
      </c>
      <c r="R41" s="586">
        <f t="shared" si="6"/>
        <v>18.834947010000008</v>
      </c>
      <c r="S41" s="586">
        <f t="shared" si="7"/>
        <v>48.133753470000002</v>
      </c>
      <c r="T41" s="151">
        <f t="shared" si="8"/>
        <v>1864.6597539899999</v>
      </c>
    </row>
    <row r="42" spans="1:20" ht="15.75" customHeight="1">
      <c r="A42" s="158">
        <v>30</v>
      </c>
      <c r="B42" s="385" t="s">
        <v>918</v>
      </c>
      <c r="C42" s="513">
        <v>77.750589200000007</v>
      </c>
      <c r="D42" s="513">
        <v>6.7867999999999853</v>
      </c>
      <c r="E42" s="513">
        <v>92.808601558384964</v>
      </c>
      <c r="F42" s="516">
        <v>2739.4240499999996</v>
      </c>
      <c r="G42" s="516">
        <v>84.653190184717673</v>
      </c>
      <c r="H42" s="516">
        <v>2739.4240499999996</v>
      </c>
      <c r="I42" s="516">
        <v>84.653190184717673</v>
      </c>
      <c r="J42" s="514"/>
      <c r="K42" s="513">
        <f t="shared" si="0"/>
        <v>14.942211373667277</v>
      </c>
      <c r="L42" s="517">
        <v>0</v>
      </c>
      <c r="M42" s="517">
        <f t="shared" si="2"/>
        <v>0</v>
      </c>
      <c r="N42" s="586">
        <f t="shared" si="3"/>
        <v>1917.5968349999998</v>
      </c>
      <c r="O42" s="586">
        <f t="shared" si="4"/>
        <v>38.351936699999996</v>
      </c>
      <c r="P42" s="586"/>
      <c r="Q42" s="586">
        <f t="shared" si="5"/>
        <v>821.8272149999998</v>
      </c>
      <c r="R42" s="586">
        <f t="shared" si="6"/>
        <v>24.654816449999995</v>
      </c>
      <c r="S42" s="586">
        <f t="shared" si="7"/>
        <v>63.006753149999994</v>
      </c>
      <c r="T42" s="151">
        <f t="shared" si="8"/>
        <v>2440.8268285499998</v>
      </c>
    </row>
    <row r="43" spans="1:20" ht="15.75" customHeight="1">
      <c r="A43" s="158">
        <v>31</v>
      </c>
      <c r="B43" s="385" t="s">
        <v>919</v>
      </c>
      <c r="C43" s="513">
        <v>48.551730399999997</v>
      </c>
      <c r="D43" s="513">
        <v>-23.587489999999995</v>
      </c>
      <c r="E43" s="513">
        <v>50.655766932451826</v>
      </c>
      <c r="F43" s="516">
        <v>1853.4252329999999</v>
      </c>
      <c r="G43" s="516">
        <v>46.204470276259151</v>
      </c>
      <c r="H43" s="516">
        <v>1853.4252329999999</v>
      </c>
      <c r="I43" s="516">
        <v>46.204470276259151</v>
      </c>
      <c r="J43" s="514"/>
      <c r="K43" s="513">
        <f t="shared" si="0"/>
        <v>-19.136193343807321</v>
      </c>
      <c r="L43" s="517">
        <f t="shared" si="1"/>
        <v>-23.587489999999995</v>
      </c>
      <c r="M43" s="517">
        <f t="shared" si="2"/>
        <v>-23.587489999999995</v>
      </c>
      <c r="N43" s="586">
        <f t="shared" si="3"/>
        <v>1297.3976630999998</v>
      </c>
      <c r="O43" s="586">
        <f t="shared" si="4"/>
        <v>25.947953261999995</v>
      </c>
      <c r="P43" s="586"/>
      <c r="Q43" s="586">
        <f t="shared" si="5"/>
        <v>556.02756990000012</v>
      </c>
      <c r="R43" s="586">
        <f t="shared" si="6"/>
        <v>16.680827097000002</v>
      </c>
      <c r="S43" s="586">
        <f t="shared" si="7"/>
        <v>42.628780358999997</v>
      </c>
      <c r="T43" s="151">
        <f t="shared" si="8"/>
        <v>1651.4018826029999</v>
      </c>
    </row>
    <row r="44" spans="1:20" ht="15.75" customHeight="1">
      <c r="A44" s="158">
        <v>32</v>
      </c>
      <c r="B44" s="385" t="s">
        <v>920</v>
      </c>
      <c r="C44" s="513">
        <v>51.593783999999999</v>
      </c>
      <c r="D44" s="513">
        <v>10.226450000000007</v>
      </c>
      <c r="E44" s="513">
        <v>57.078194525673403</v>
      </c>
      <c r="F44" s="516">
        <v>2045.4678089999998</v>
      </c>
      <c r="G44" s="516">
        <v>52.062537043427731</v>
      </c>
      <c r="H44" s="516">
        <v>2045.4678089999998</v>
      </c>
      <c r="I44" s="516">
        <v>52.062537043427731</v>
      </c>
      <c r="J44" s="514"/>
      <c r="K44" s="513">
        <f t="shared" si="0"/>
        <v>15.242107482245679</v>
      </c>
      <c r="L44" s="517">
        <v>0</v>
      </c>
      <c r="M44" s="517">
        <f t="shared" si="2"/>
        <v>0</v>
      </c>
      <c r="N44" s="586">
        <f t="shared" si="3"/>
        <v>1431.8274662999997</v>
      </c>
      <c r="O44" s="586">
        <f t="shared" si="4"/>
        <v>28.636549325999994</v>
      </c>
      <c r="P44" s="586"/>
      <c r="Q44" s="586">
        <f t="shared" si="5"/>
        <v>613.64034270000002</v>
      </c>
      <c r="R44" s="586">
        <f t="shared" si="6"/>
        <v>18.409210281</v>
      </c>
      <c r="S44" s="586">
        <f t="shared" si="7"/>
        <v>47.045759606999994</v>
      </c>
      <c r="T44" s="151">
        <f t="shared" si="8"/>
        <v>1822.5118178189996</v>
      </c>
    </row>
    <row r="45" spans="1:20" ht="15.75" customHeight="1">
      <c r="A45" s="158">
        <v>33</v>
      </c>
      <c r="B45" s="385" t="s">
        <v>921</v>
      </c>
      <c r="C45" s="513">
        <v>177.48203000000001</v>
      </c>
      <c r="D45" s="513">
        <v>77.273570000000007</v>
      </c>
      <c r="E45" s="513">
        <v>137.41381855168282</v>
      </c>
      <c r="F45" s="516">
        <v>5665.8957300000002</v>
      </c>
      <c r="G45" s="516">
        <v>125.33879317797921</v>
      </c>
      <c r="H45" s="516">
        <v>5665.8957300000002</v>
      </c>
      <c r="I45" s="516">
        <v>125.33879317797921</v>
      </c>
      <c r="J45" s="514"/>
      <c r="K45" s="513">
        <f t="shared" si="0"/>
        <v>89.348595373703617</v>
      </c>
      <c r="L45" s="517">
        <v>0</v>
      </c>
      <c r="M45" s="517">
        <f t="shared" si="2"/>
        <v>0</v>
      </c>
      <c r="N45" s="586">
        <f t="shared" si="3"/>
        <v>3966.127011</v>
      </c>
      <c r="O45" s="586">
        <f t="shared" si="4"/>
        <v>79.322540219999993</v>
      </c>
      <c r="P45" s="586"/>
      <c r="Q45" s="586">
        <f t="shared" si="5"/>
        <v>1699.7687190000001</v>
      </c>
      <c r="R45" s="586">
        <f t="shared" si="6"/>
        <v>50.993061570000009</v>
      </c>
      <c r="S45" s="586">
        <f t="shared" si="7"/>
        <v>130.31560179000002</v>
      </c>
      <c r="T45" s="151">
        <f t="shared" si="8"/>
        <v>5048.3130954300004</v>
      </c>
    </row>
    <row r="46" spans="1:20" ht="15">
      <c r="A46" s="156" t="s">
        <v>94</v>
      </c>
      <c r="B46" s="154"/>
      <c r="C46" s="513">
        <f>SUM(C13:C45)</f>
        <v>2977.7675696000001</v>
      </c>
      <c r="D46" s="513">
        <f>SUM(D13:D45)</f>
        <v>81.343200000000081</v>
      </c>
      <c r="E46" s="513">
        <f t="shared" ref="E46:I46" si="9">SUM(E13:E45)</f>
        <v>2766.8200000000006</v>
      </c>
      <c r="F46" s="513">
        <f t="shared" si="9"/>
        <v>109724.33607300003</v>
      </c>
      <c r="G46" s="513">
        <f t="shared" si="9"/>
        <v>2523.69</v>
      </c>
      <c r="H46" s="513">
        <f t="shared" si="9"/>
        <v>109724.33607300003</v>
      </c>
      <c r="I46" s="513">
        <f t="shared" si="9"/>
        <v>2523.69</v>
      </c>
      <c r="J46" s="514"/>
      <c r="K46" s="513">
        <f t="shared" si="0"/>
        <v>324.47320000000082</v>
      </c>
      <c r="L46" s="517">
        <f>SUM(L13:L45)</f>
        <v>-383.76033999999993</v>
      </c>
      <c r="M46" s="517">
        <f t="shared" si="2"/>
        <v>-383.76033999999993</v>
      </c>
      <c r="N46" s="586">
        <f t="shared" si="3"/>
        <v>76807.035251100024</v>
      </c>
      <c r="O46" s="586">
        <f t="shared" si="4"/>
        <v>1536.1407050220005</v>
      </c>
      <c r="P46" s="586"/>
      <c r="Q46" s="586">
        <f t="shared" si="5"/>
        <v>32917.300821900004</v>
      </c>
      <c r="R46" s="586">
        <f t="shared" si="6"/>
        <v>987.51902465700016</v>
      </c>
      <c r="S46" s="586">
        <f>SUM(S13:S45)</f>
        <v>2523.6597296790001</v>
      </c>
      <c r="T46" s="151">
        <f t="shared" ref="T46" si="10">F46*89.23/100</f>
        <v>97907.025077937928</v>
      </c>
    </row>
    <row r="49" spans="1:17" ht="15.75" customHeight="1"/>
    <row r="50" spans="1:17" ht="15.75" customHeight="1">
      <c r="A50" s="871" t="s">
        <v>13</v>
      </c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8"/>
      <c r="M50" s="88"/>
      <c r="N50" s="15"/>
      <c r="O50" s="541"/>
      <c r="P50" s="541"/>
    </row>
    <row r="51" spans="1:17" ht="15.75" customHeight="1">
      <c r="A51" s="871" t="s">
        <v>14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8"/>
      <c r="M51" s="88"/>
      <c r="N51" s="15"/>
      <c r="O51" s="541"/>
      <c r="P51" s="541"/>
      <c r="Q51" s="151">
        <f>G46/S46*100</f>
        <v>100.00119946126824</v>
      </c>
    </row>
    <row r="52" spans="1:17" ht="12.75" customHeight="1">
      <c r="A52" s="871" t="s">
        <v>20</v>
      </c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8"/>
      <c r="M52" s="88"/>
      <c r="N52" s="15"/>
      <c r="O52" s="541"/>
      <c r="P52" s="541"/>
    </row>
    <row r="53" spans="1:17">
      <c r="A53" s="14" t="s">
        <v>23</v>
      </c>
      <c r="B53" s="14"/>
      <c r="C53" s="14"/>
      <c r="D53" s="14"/>
      <c r="E53" s="14"/>
      <c r="F53" s="14"/>
      <c r="G53" s="15"/>
      <c r="H53" s="15"/>
      <c r="I53" s="15"/>
      <c r="J53" s="295"/>
      <c r="K53" s="850" t="s">
        <v>87</v>
      </c>
      <c r="L53" s="850"/>
      <c r="M53" s="850"/>
      <c r="N53" s="850"/>
      <c r="O53" s="540"/>
      <c r="P53" s="540"/>
    </row>
    <row r="54" spans="1:17">
      <c r="A54" s="14"/>
      <c r="B54" s="15"/>
      <c r="C54" s="15"/>
      <c r="D54" s="15"/>
      <c r="E54" s="15"/>
      <c r="F54" s="15"/>
      <c r="G54" s="15"/>
      <c r="H54" s="15"/>
      <c r="I54" s="15"/>
      <c r="J54" s="295"/>
      <c r="K54" s="15"/>
      <c r="L54" s="15"/>
      <c r="M54" s="15"/>
      <c r="N54" s="15"/>
      <c r="O54" s="541"/>
      <c r="P54" s="541"/>
    </row>
  </sheetData>
  <mergeCells count="20"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K9:K11"/>
    <mergeCell ref="K53:N53"/>
    <mergeCell ref="A50:K50"/>
    <mergeCell ref="A51:K51"/>
    <mergeCell ref="D9:D11"/>
    <mergeCell ref="E9:E11"/>
    <mergeCell ref="A9:A11"/>
    <mergeCell ref="M9:M11"/>
    <mergeCell ref="L9:L11"/>
    <mergeCell ref="B9:B11"/>
    <mergeCell ref="A52:K52"/>
  </mergeCells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5"/>
  <sheetViews>
    <sheetView view="pageBreakPreview" topLeftCell="A10" zoomScale="90" zoomScaleSheetLayoutView="90" workbookViewId="0">
      <selection activeCell="G37" sqref="G37"/>
    </sheetView>
  </sheetViews>
  <sheetFormatPr defaultRowHeight="12.75"/>
  <cols>
    <col min="1" max="1" width="5.5703125" style="15" customWidth="1"/>
    <col min="2" max="2" width="15.85546875" style="15" customWidth="1"/>
    <col min="3" max="3" width="10.5703125" style="15" customWidth="1"/>
    <col min="4" max="4" width="9.85546875" style="15" customWidth="1"/>
    <col min="5" max="5" width="8.7109375" style="15" customWidth="1"/>
    <col min="6" max="6" width="10.85546875" style="15" customWidth="1"/>
    <col min="7" max="7" width="15.85546875" style="15" customWidth="1"/>
    <col min="8" max="8" width="12.42578125" style="15" customWidth="1"/>
    <col min="9" max="9" width="12.140625" style="15" customWidth="1"/>
    <col min="10" max="10" width="9" style="15" customWidth="1"/>
    <col min="11" max="11" width="12" style="15" customWidth="1"/>
    <col min="12" max="12" width="17.28515625" style="15" customWidth="1"/>
    <col min="13" max="13" width="9.140625" style="15" hidden="1" customWidth="1"/>
    <col min="14" max="16384" width="9.140625" style="15"/>
  </cols>
  <sheetData>
    <row r="1" spans="1:19" customFormat="1" ht="15">
      <c r="D1" s="36"/>
      <c r="E1" s="36"/>
      <c r="F1" s="36"/>
      <c r="G1" s="36"/>
      <c r="H1" s="36"/>
      <c r="I1" s="36"/>
      <c r="J1" s="36"/>
      <c r="K1" s="36"/>
      <c r="L1" s="946" t="s">
        <v>437</v>
      </c>
      <c r="M1" s="946"/>
      <c r="N1" s="946"/>
      <c r="O1" s="43"/>
      <c r="P1" s="43"/>
    </row>
    <row r="2" spans="1:19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45"/>
      <c r="N2" s="45"/>
      <c r="O2" s="45"/>
      <c r="P2" s="45"/>
    </row>
    <row r="3" spans="1:19" customFormat="1" ht="20.25">
      <c r="A3" s="948" t="s">
        <v>705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44"/>
      <c r="N3" s="44"/>
      <c r="O3" s="44"/>
      <c r="P3" s="44"/>
    </row>
    <row r="4" spans="1:19" customFormat="1" ht="10.5" customHeight="1"/>
    <row r="5" spans="1:19" ht="19.5" customHeight="1">
      <c r="A5" s="933" t="s">
        <v>762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</row>
    <row r="6" spans="1:1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9">
      <c r="A7" s="850" t="s">
        <v>922</v>
      </c>
      <c r="B7" s="850"/>
      <c r="F7" s="947" t="s">
        <v>21</v>
      </c>
      <c r="G7" s="947"/>
      <c r="H7" s="947"/>
      <c r="I7" s="947"/>
      <c r="J7" s="947"/>
      <c r="K7" s="947"/>
      <c r="L7" s="947"/>
    </row>
    <row r="8" spans="1:19">
      <c r="A8" s="14"/>
      <c r="F8" s="16"/>
      <c r="G8" s="107"/>
      <c r="H8" s="107"/>
      <c r="I8" s="941" t="s">
        <v>785</v>
      </c>
      <c r="J8" s="941"/>
      <c r="K8" s="941"/>
      <c r="L8" s="941"/>
    </row>
    <row r="9" spans="1:19" s="14" customFormat="1">
      <c r="A9" s="844" t="s">
        <v>2</v>
      </c>
      <c r="B9" s="844" t="s">
        <v>3</v>
      </c>
      <c r="C9" s="829" t="s">
        <v>27</v>
      </c>
      <c r="D9" s="855"/>
      <c r="E9" s="855"/>
      <c r="F9" s="855"/>
      <c r="G9" s="855"/>
      <c r="H9" s="829" t="s">
        <v>28</v>
      </c>
      <c r="I9" s="855"/>
      <c r="J9" s="855"/>
      <c r="K9" s="855"/>
      <c r="L9" s="855"/>
      <c r="R9" s="30"/>
      <c r="S9" s="31"/>
    </row>
    <row r="10" spans="1:19" s="14" customFormat="1" ht="63.75">
      <c r="A10" s="844"/>
      <c r="B10" s="844"/>
      <c r="C10" s="5" t="s">
        <v>759</v>
      </c>
      <c r="D10" s="5" t="s">
        <v>792</v>
      </c>
      <c r="E10" s="5" t="s">
        <v>73</v>
      </c>
      <c r="F10" s="5" t="s">
        <v>74</v>
      </c>
      <c r="G10" s="5" t="s">
        <v>371</v>
      </c>
      <c r="H10" s="5" t="s">
        <v>759</v>
      </c>
      <c r="I10" s="5" t="s">
        <v>792</v>
      </c>
      <c r="J10" s="5" t="s">
        <v>73</v>
      </c>
      <c r="K10" s="5" t="s">
        <v>74</v>
      </c>
      <c r="L10" s="5" t="s">
        <v>372</v>
      </c>
    </row>
    <row r="11" spans="1:19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9">
      <c r="A12" s="436">
        <v>1</v>
      </c>
      <c r="B12" s="437" t="s">
        <v>924</v>
      </c>
      <c r="C12" s="432"/>
      <c r="D12" s="432"/>
      <c r="E12" s="432"/>
      <c r="F12" s="432"/>
      <c r="G12" s="432"/>
      <c r="H12" s="431"/>
      <c r="I12" s="431"/>
      <c r="J12" s="431"/>
      <c r="K12" s="431"/>
      <c r="L12" s="432"/>
    </row>
    <row r="13" spans="1:19">
      <c r="A13" s="436">
        <v>2</v>
      </c>
      <c r="B13" s="437" t="s">
        <v>925</v>
      </c>
      <c r="C13" s="432"/>
      <c r="D13" s="432"/>
      <c r="E13" s="432"/>
      <c r="F13" s="432"/>
      <c r="G13" s="432"/>
      <c r="H13" s="431"/>
      <c r="I13" s="431"/>
      <c r="J13" s="431"/>
      <c r="K13" s="431"/>
      <c r="L13" s="432"/>
    </row>
    <row r="14" spans="1:19">
      <c r="A14" s="436">
        <v>3</v>
      </c>
      <c r="B14" s="437" t="s">
        <v>926</v>
      </c>
      <c r="C14" s="432"/>
      <c r="D14" s="432"/>
      <c r="E14" s="432"/>
      <c r="F14" s="432"/>
      <c r="G14" s="432"/>
      <c r="H14" s="431"/>
      <c r="I14" s="431"/>
      <c r="J14" s="431"/>
      <c r="K14" s="431"/>
      <c r="L14" s="432"/>
    </row>
    <row r="15" spans="1:19">
      <c r="A15" s="436">
        <v>4</v>
      </c>
      <c r="B15" s="437" t="s">
        <v>927</v>
      </c>
      <c r="C15" s="432"/>
      <c r="D15" s="432"/>
      <c r="E15" s="432"/>
      <c r="F15" s="432"/>
      <c r="G15" s="432"/>
      <c r="H15" s="431"/>
      <c r="I15" s="431"/>
      <c r="J15" s="431"/>
      <c r="K15" s="431"/>
      <c r="L15" s="432"/>
    </row>
    <row r="16" spans="1:19">
      <c r="A16" s="436">
        <v>5</v>
      </c>
      <c r="B16" s="437" t="s">
        <v>928</v>
      </c>
      <c r="C16" s="432"/>
      <c r="D16" s="432"/>
      <c r="E16" s="432"/>
      <c r="F16" s="432"/>
      <c r="G16" s="432"/>
      <c r="H16" s="431"/>
      <c r="I16" s="431"/>
      <c r="J16" s="431"/>
      <c r="K16" s="431"/>
      <c r="L16" s="432"/>
    </row>
    <row r="17" spans="1:12">
      <c r="A17" s="436">
        <v>6</v>
      </c>
      <c r="B17" s="437" t="s">
        <v>929</v>
      </c>
      <c r="C17" s="432"/>
      <c r="D17" s="432"/>
      <c r="E17" s="432"/>
      <c r="F17" s="432"/>
      <c r="G17" s="432"/>
      <c r="H17" s="431"/>
      <c r="I17" s="431"/>
      <c r="J17" s="431"/>
      <c r="K17" s="431"/>
      <c r="L17" s="432"/>
    </row>
    <row r="18" spans="1:12">
      <c r="A18" s="436">
        <v>7</v>
      </c>
      <c r="B18" s="437" t="s">
        <v>930</v>
      </c>
      <c r="C18" s="432"/>
      <c r="D18" s="432"/>
      <c r="E18" s="432"/>
      <c r="F18" s="432"/>
      <c r="G18" s="432"/>
      <c r="H18" s="431"/>
      <c r="I18" s="431"/>
      <c r="J18" s="431"/>
      <c r="K18" s="431"/>
      <c r="L18" s="432"/>
    </row>
    <row r="19" spans="1:12">
      <c r="A19" s="436">
        <v>8</v>
      </c>
      <c r="B19" s="437" t="s">
        <v>931</v>
      </c>
      <c r="C19" s="432"/>
      <c r="D19" s="432"/>
      <c r="E19" s="432"/>
      <c r="F19" s="432"/>
      <c r="G19" s="432"/>
      <c r="H19" s="431"/>
      <c r="I19" s="431"/>
      <c r="J19" s="431"/>
      <c r="K19" s="431"/>
      <c r="L19" s="432"/>
    </row>
    <row r="20" spans="1:12">
      <c r="A20" s="436">
        <v>9</v>
      </c>
      <c r="B20" s="437" t="s">
        <v>932</v>
      </c>
      <c r="C20" s="432"/>
      <c r="D20" s="432"/>
      <c r="E20" s="432"/>
      <c r="F20" s="432"/>
      <c r="G20" s="432"/>
      <c r="H20" s="431"/>
      <c r="I20" s="431"/>
      <c r="J20" s="431"/>
      <c r="K20" s="431"/>
      <c r="L20" s="432"/>
    </row>
    <row r="21" spans="1:12">
      <c r="A21" s="436">
        <v>10</v>
      </c>
      <c r="B21" s="437" t="s">
        <v>933</v>
      </c>
      <c r="C21" s="432"/>
      <c r="D21" s="432"/>
      <c r="E21" s="432"/>
      <c r="F21" s="432"/>
      <c r="G21" s="432"/>
      <c r="H21" s="431"/>
      <c r="I21" s="431"/>
      <c r="J21" s="431"/>
      <c r="K21" s="431"/>
      <c r="L21" s="432"/>
    </row>
    <row r="22" spans="1:12">
      <c r="A22" s="436">
        <v>11</v>
      </c>
      <c r="B22" s="437" t="s">
        <v>934</v>
      </c>
      <c r="C22" s="432"/>
      <c r="D22" s="432"/>
      <c r="E22" s="432"/>
      <c r="F22" s="432"/>
      <c r="G22" s="432"/>
      <c r="H22" s="431"/>
      <c r="I22" s="431"/>
      <c r="J22" s="431"/>
      <c r="K22" s="431"/>
      <c r="L22" s="432"/>
    </row>
    <row r="23" spans="1:12">
      <c r="A23" s="436">
        <v>12</v>
      </c>
      <c r="B23" s="437" t="s">
        <v>935</v>
      </c>
      <c r="C23" s="432"/>
      <c r="D23" s="432"/>
      <c r="E23" s="432"/>
      <c r="F23" s="432"/>
      <c r="G23" s="432"/>
      <c r="H23" s="431"/>
      <c r="I23" s="431"/>
      <c r="J23" s="431"/>
      <c r="K23" s="431"/>
      <c r="L23" s="432"/>
    </row>
    <row r="24" spans="1:12">
      <c r="A24" s="436">
        <v>13</v>
      </c>
      <c r="B24" s="437" t="s">
        <v>936</v>
      </c>
      <c r="C24" s="432"/>
      <c r="D24" s="432"/>
      <c r="E24" s="432"/>
      <c r="F24" s="432"/>
      <c r="G24" s="432"/>
      <c r="H24" s="431"/>
      <c r="I24" s="431"/>
      <c r="J24" s="431"/>
      <c r="K24" s="431"/>
      <c r="L24" s="432"/>
    </row>
    <row r="25" spans="1:12">
      <c r="A25" s="436">
        <v>14</v>
      </c>
      <c r="B25" s="437" t="s">
        <v>937</v>
      </c>
      <c r="C25" s="432"/>
      <c r="D25" s="432"/>
      <c r="E25" s="432"/>
      <c r="F25" s="432"/>
      <c r="G25" s="432"/>
      <c r="H25" s="431"/>
      <c r="I25" s="431"/>
      <c r="J25" s="431"/>
      <c r="K25" s="431"/>
      <c r="L25" s="432"/>
    </row>
    <row r="26" spans="1:12" s="433" customFormat="1">
      <c r="A26" s="438">
        <v>15</v>
      </c>
      <c r="B26" s="437" t="s">
        <v>938</v>
      </c>
      <c r="C26" s="432"/>
      <c r="D26" s="432"/>
      <c r="E26" s="432"/>
      <c r="F26" s="432"/>
      <c r="G26" s="432"/>
      <c r="H26" s="431"/>
      <c r="I26" s="431"/>
      <c r="J26" s="431"/>
      <c r="K26" s="431"/>
      <c r="L26" s="432"/>
    </row>
    <row r="27" spans="1:12" s="433" customFormat="1">
      <c r="A27" s="438">
        <v>16</v>
      </c>
      <c r="B27" s="437" t="s">
        <v>939</v>
      </c>
      <c r="C27" s="432"/>
      <c r="D27" s="432"/>
      <c r="E27" s="432"/>
      <c r="F27" s="432"/>
      <c r="G27" s="432"/>
      <c r="H27" s="431"/>
      <c r="I27" s="431"/>
      <c r="J27" s="431"/>
      <c r="K27" s="431"/>
      <c r="L27" s="432"/>
    </row>
    <row r="28" spans="1:12" s="433" customFormat="1">
      <c r="A28" s="436">
        <v>17</v>
      </c>
      <c r="B28" s="437" t="s">
        <v>940</v>
      </c>
      <c r="C28" s="432"/>
      <c r="D28" s="432"/>
      <c r="E28" s="432"/>
      <c r="F28" s="432"/>
      <c r="G28" s="432"/>
      <c r="H28" s="431"/>
      <c r="I28" s="431"/>
      <c r="J28" s="431"/>
      <c r="K28" s="431"/>
      <c r="L28" s="432"/>
    </row>
    <row r="29" spans="1:12" s="433" customFormat="1">
      <c r="A29" s="436">
        <v>18</v>
      </c>
      <c r="B29" s="437" t="s">
        <v>941</v>
      </c>
      <c r="C29" s="432"/>
      <c r="D29" s="432"/>
      <c r="E29" s="432"/>
      <c r="F29" s="432"/>
      <c r="G29" s="432"/>
      <c r="H29" s="431"/>
      <c r="I29" s="431"/>
      <c r="J29" s="431"/>
      <c r="K29" s="431"/>
      <c r="L29" s="432"/>
    </row>
    <row r="30" spans="1:12" s="433" customFormat="1">
      <c r="A30" s="436">
        <v>19</v>
      </c>
      <c r="B30" s="437" t="s">
        <v>942</v>
      </c>
      <c r="C30" s="432"/>
      <c r="D30" s="432"/>
      <c r="E30" s="432"/>
      <c r="F30" s="432"/>
      <c r="G30" s="432"/>
      <c r="H30" s="431"/>
      <c r="I30" s="431"/>
      <c r="J30" s="431"/>
      <c r="K30" s="431"/>
      <c r="L30" s="432"/>
    </row>
    <row r="31" spans="1:12" s="433" customFormat="1">
      <c r="A31" s="436">
        <v>20</v>
      </c>
      <c r="B31" s="437" t="s">
        <v>943</v>
      </c>
      <c r="C31" s="432"/>
      <c r="D31" s="432"/>
      <c r="E31" s="432"/>
      <c r="F31" s="432"/>
      <c r="G31" s="432"/>
      <c r="H31" s="431"/>
      <c r="I31" s="431"/>
      <c r="J31" s="431"/>
      <c r="K31" s="431"/>
      <c r="L31" s="432"/>
    </row>
    <row r="32" spans="1:12" s="433" customFormat="1">
      <c r="A32" s="436">
        <v>21</v>
      </c>
      <c r="B32" s="437" t="s">
        <v>944</v>
      </c>
      <c r="C32" s="19"/>
      <c r="D32" s="19"/>
      <c r="E32" s="19"/>
      <c r="F32" s="19"/>
      <c r="G32" s="19"/>
      <c r="H32" s="28"/>
      <c r="I32" s="28"/>
      <c r="J32" s="28"/>
      <c r="K32" s="28"/>
      <c r="L32" s="19"/>
    </row>
    <row r="33" spans="1:12" s="433" customFormat="1">
      <c r="A33" s="436">
        <v>22</v>
      </c>
      <c r="B33" s="437" t="s">
        <v>945</v>
      </c>
      <c r="C33" s="19"/>
      <c r="D33" s="19"/>
      <c r="E33" s="19"/>
      <c r="F33" s="19"/>
      <c r="G33" s="19"/>
      <c r="H33" s="28"/>
      <c r="I33" s="28"/>
      <c r="J33" s="28"/>
      <c r="K33" s="28"/>
      <c r="L33" s="19"/>
    </row>
    <row r="34" spans="1:12" s="433" customFormat="1">
      <c r="A34" s="436">
        <v>23</v>
      </c>
      <c r="B34" s="437" t="s">
        <v>946</v>
      </c>
      <c r="C34" s="19"/>
      <c r="D34" s="19"/>
      <c r="E34" s="19"/>
      <c r="F34" s="19"/>
      <c r="G34" s="19"/>
      <c r="H34" s="28"/>
      <c r="I34" s="28"/>
      <c r="J34" s="28"/>
      <c r="K34" s="28"/>
      <c r="L34" s="19"/>
    </row>
    <row r="35" spans="1:12" s="433" customFormat="1">
      <c r="A35" s="436">
        <v>24</v>
      </c>
      <c r="B35" s="437" t="s">
        <v>947</v>
      </c>
      <c r="C35" s="19"/>
      <c r="D35" s="19"/>
      <c r="E35" s="19"/>
      <c r="F35" s="19"/>
      <c r="G35" s="19"/>
      <c r="H35" s="28"/>
      <c r="I35" s="28"/>
      <c r="J35" s="28"/>
      <c r="K35" s="28"/>
      <c r="L35" s="19"/>
    </row>
    <row r="36" spans="1:12" s="433" customFormat="1">
      <c r="A36" s="436">
        <v>25</v>
      </c>
      <c r="B36" s="437" t="s">
        <v>948</v>
      </c>
      <c r="C36" s="19"/>
      <c r="D36" s="19"/>
      <c r="E36" s="19"/>
      <c r="F36" s="19"/>
      <c r="G36" s="19"/>
      <c r="H36" s="28"/>
      <c r="I36" s="28"/>
      <c r="J36" s="28"/>
      <c r="K36" s="28"/>
      <c r="L36" s="19"/>
    </row>
    <row r="37" spans="1:12" s="433" customFormat="1">
      <c r="A37" s="436">
        <v>26</v>
      </c>
      <c r="B37" s="437" t="s">
        <v>949</v>
      </c>
      <c r="C37" s="19"/>
      <c r="D37" s="19"/>
      <c r="E37" s="19"/>
      <c r="F37" s="19"/>
      <c r="G37" s="19"/>
      <c r="H37" s="28"/>
      <c r="I37" s="28"/>
      <c r="J37" s="28"/>
      <c r="K37" s="28"/>
      <c r="L37" s="19"/>
    </row>
    <row r="38" spans="1:12" s="433" customFormat="1">
      <c r="A38" s="436">
        <v>27</v>
      </c>
      <c r="B38" s="437" t="s">
        <v>950</v>
      </c>
      <c r="C38" s="19"/>
      <c r="D38" s="19"/>
      <c r="E38" s="19"/>
      <c r="F38" s="19"/>
      <c r="G38" s="19"/>
      <c r="H38" s="28"/>
      <c r="I38" s="28"/>
      <c r="J38" s="28"/>
      <c r="K38" s="28"/>
      <c r="L38" s="19"/>
    </row>
    <row r="39" spans="1:12" s="433" customFormat="1">
      <c r="A39" s="436">
        <v>28</v>
      </c>
      <c r="B39" s="437" t="s">
        <v>951</v>
      </c>
      <c r="C39" s="19"/>
      <c r="D39" s="19"/>
      <c r="E39" s="19"/>
      <c r="F39" s="19"/>
      <c r="G39" s="19"/>
      <c r="H39" s="28"/>
      <c r="I39" s="28"/>
      <c r="J39" s="28"/>
      <c r="K39" s="28"/>
      <c r="L39" s="19"/>
    </row>
    <row r="40" spans="1:12" s="433" customFormat="1">
      <c r="A40" s="436">
        <v>29</v>
      </c>
      <c r="B40" s="437" t="s">
        <v>952</v>
      </c>
      <c r="C40" s="19"/>
      <c r="D40" s="19"/>
      <c r="E40" s="19"/>
      <c r="F40" s="19"/>
      <c r="G40" s="19"/>
      <c r="H40" s="28"/>
      <c r="I40" s="28"/>
      <c r="J40" s="28"/>
      <c r="K40" s="28"/>
      <c r="L40" s="19"/>
    </row>
    <row r="41" spans="1:12" s="433" customFormat="1">
      <c r="A41" s="436">
        <v>30</v>
      </c>
      <c r="B41" s="437" t="s">
        <v>953</v>
      </c>
      <c r="C41" s="19"/>
      <c r="D41" s="19"/>
      <c r="E41" s="19"/>
      <c r="F41" s="19"/>
      <c r="G41" s="19"/>
      <c r="H41" s="28"/>
      <c r="I41" s="28"/>
      <c r="J41" s="28"/>
      <c r="K41" s="28"/>
      <c r="L41" s="19"/>
    </row>
    <row r="42" spans="1:12" s="433" customFormat="1">
      <c r="A42" s="436">
        <v>31</v>
      </c>
      <c r="B42" s="437" t="s">
        <v>954</v>
      </c>
      <c r="C42" s="19"/>
      <c r="D42" s="19"/>
      <c r="E42" s="19"/>
      <c r="F42" s="19"/>
      <c r="G42" s="19"/>
      <c r="H42" s="28"/>
      <c r="I42" s="28"/>
      <c r="J42" s="28"/>
      <c r="K42" s="28"/>
      <c r="L42" s="19"/>
    </row>
    <row r="43" spans="1:12" s="433" customFormat="1">
      <c r="A43" s="436">
        <v>32</v>
      </c>
      <c r="B43" s="437" t="s">
        <v>955</v>
      </c>
      <c r="C43" s="19"/>
      <c r="D43" s="19"/>
      <c r="E43" s="19"/>
      <c r="F43" s="19"/>
      <c r="G43" s="19"/>
      <c r="H43" s="28"/>
      <c r="I43" s="28"/>
      <c r="J43" s="28"/>
      <c r="K43" s="28"/>
      <c r="L43" s="19"/>
    </row>
    <row r="44" spans="1:12" s="433" customFormat="1">
      <c r="A44" s="436">
        <v>33</v>
      </c>
      <c r="B44" s="437" t="s">
        <v>956</v>
      </c>
      <c r="C44" s="19"/>
      <c r="D44" s="19"/>
      <c r="E44" s="19"/>
      <c r="F44" s="19"/>
      <c r="G44" s="19"/>
      <c r="H44" s="28"/>
      <c r="I44" s="28"/>
      <c r="J44" s="28"/>
      <c r="K44" s="28"/>
      <c r="L44" s="19"/>
    </row>
    <row r="45" spans="1:12">
      <c r="A45" s="3" t="s">
        <v>19</v>
      </c>
      <c r="B45" s="19"/>
      <c r="C45" s="19"/>
      <c r="D45" s="19"/>
      <c r="E45" s="19"/>
      <c r="F45" s="19"/>
      <c r="G45" s="19"/>
      <c r="H45" s="28"/>
      <c r="I45" s="28"/>
      <c r="J45" s="28"/>
      <c r="K45" s="28"/>
      <c r="L45" s="19"/>
    </row>
    <row r="46" spans="1:12">
      <c r="A46" s="22" t="s">
        <v>370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>
      <c r="A47" s="21" t="s">
        <v>369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3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3" ht="14.25" customHeight="1">
      <c r="A50" s="871" t="s">
        <v>13</v>
      </c>
      <c r="B50" s="871"/>
      <c r="C50" s="871"/>
      <c r="D50" s="871"/>
      <c r="E50" s="871"/>
      <c r="F50" s="871"/>
      <c r="G50" s="871"/>
      <c r="H50" s="871"/>
      <c r="I50" s="871"/>
      <c r="J50" s="871"/>
      <c r="K50" s="871"/>
      <c r="L50" s="871"/>
    </row>
    <row r="51" spans="1:13">
      <c r="A51" s="871" t="s">
        <v>14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</row>
    <row r="52" spans="1:13">
      <c r="A52" s="871" t="s">
        <v>20</v>
      </c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</row>
    <row r="53" spans="1:13">
      <c r="A53" s="14" t="s">
        <v>23</v>
      </c>
      <c r="B53" s="14"/>
      <c r="C53" s="14"/>
      <c r="D53" s="14"/>
      <c r="E53" s="14"/>
      <c r="F53" s="14"/>
      <c r="J53" s="850" t="s">
        <v>87</v>
      </c>
      <c r="K53" s="850"/>
      <c r="L53" s="850"/>
      <c r="M53" s="850"/>
    </row>
    <row r="54" spans="1:13">
      <c r="A54" s="14"/>
    </row>
    <row r="55" spans="1:13">
      <c r="A55" s="934"/>
      <c r="B55" s="934"/>
      <c r="C55" s="934"/>
      <c r="D55" s="934"/>
      <c r="E55" s="934"/>
      <c r="F55" s="934"/>
      <c r="G55" s="934"/>
      <c r="H55" s="934"/>
      <c r="I55" s="934"/>
      <c r="J55" s="934"/>
      <c r="K55" s="934"/>
      <c r="L55" s="934"/>
    </row>
  </sheetData>
  <mergeCells count="16">
    <mergeCell ref="L1:N1"/>
    <mergeCell ref="A2:L2"/>
    <mergeCell ref="A3:L3"/>
    <mergeCell ref="A5:L5"/>
    <mergeCell ref="A7:B7"/>
    <mergeCell ref="F7:L7"/>
    <mergeCell ref="A51:L51"/>
    <mergeCell ref="A52:L52"/>
    <mergeCell ref="J53:M53"/>
    <mergeCell ref="A55:L55"/>
    <mergeCell ref="I8:L8"/>
    <mergeCell ref="A9:A10"/>
    <mergeCell ref="B9:B10"/>
    <mergeCell ref="C9:G9"/>
    <mergeCell ref="H9:L9"/>
    <mergeCell ref="A50:L50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  <rowBreaks count="1" manualBreakCount="1">
    <brk id="54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X54"/>
  <sheetViews>
    <sheetView view="pageBreakPreview" zoomScale="90" zoomScaleSheetLayoutView="90" workbookViewId="0">
      <selection activeCell="L47" sqref="L47:M47"/>
    </sheetView>
  </sheetViews>
  <sheetFormatPr defaultRowHeight="12.75"/>
  <cols>
    <col min="1" max="1" width="7.42578125" style="15" customWidth="1"/>
    <col min="2" max="2" width="17.140625" style="15" customWidth="1"/>
    <col min="3" max="4" width="10.140625" style="15" customWidth="1"/>
    <col min="5" max="5" width="11" style="15" customWidth="1"/>
    <col min="6" max="6" width="8.42578125" style="15" customWidth="1"/>
    <col min="7" max="8" width="9.5703125" style="15" customWidth="1"/>
    <col min="9" max="9" width="9.28515625" style="15" customWidth="1"/>
    <col min="10" max="10" width="10.7109375" style="15" customWidth="1"/>
    <col min="11" max="11" width="10.5703125" style="15" customWidth="1"/>
    <col min="12" max="12" width="10.140625" style="15" customWidth="1"/>
    <col min="13" max="14" width="9.85546875" style="15" customWidth="1"/>
    <col min="15" max="15" width="13.7109375" style="15" customWidth="1"/>
    <col min="16" max="16" width="11.85546875" style="15" customWidth="1"/>
    <col min="17" max="17" width="11.7109375" style="15" customWidth="1"/>
    <col min="18" max="21" width="9.140625" style="15"/>
    <col min="22" max="25" width="9.140625" style="480"/>
    <col min="26" max="38" width="9.140625" style="15"/>
    <col min="39" max="42" width="9.140625" style="717"/>
    <col min="43" max="47" width="9.140625" style="15"/>
    <col min="48" max="49" width="9.140625" style="717"/>
    <col min="50" max="16384" width="9.140625" style="15"/>
  </cols>
  <sheetData>
    <row r="1" spans="1:50" customFormat="1" ht="15">
      <c r="H1" s="36"/>
      <c r="I1" s="36"/>
      <c r="J1" s="36"/>
      <c r="K1" s="36"/>
      <c r="L1" s="36"/>
      <c r="M1" s="36"/>
      <c r="N1" s="36"/>
      <c r="O1" s="36"/>
      <c r="P1" s="926" t="s">
        <v>67</v>
      </c>
      <c r="Q1" s="926"/>
      <c r="S1" s="15"/>
      <c r="T1" s="43"/>
      <c r="U1" s="43"/>
      <c r="V1" s="43"/>
      <c r="W1" s="43"/>
      <c r="X1" s="43"/>
      <c r="Y1" s="43"/>
    </row>
    <row r="2" spans="1:50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45"/>
      <c r="S2" s="45"/>
      <c r="T2" s="45"/>
      <c r="U2" s="45"/>
      <c r="V2" s="45"/>
      <c r="W2" s="45"/>
      <c r="X2" s="45"/>
      <c r="Y2" s="45"/>
    </row>
    <row r="3" spans="1:50" customFormat="1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44"/>
      <c r="S3" s="44"/>
      <c r="T3" s="44"/>
      <c r="U3" s="44"/>
      <c r="V3" s="44"/>
      <c r="W3" s="44"/>
      <c r="X3" s="44"/>
      <c r="Y3" s="44"/>
    </row>
    <row r="4" spans="1:50" customFormat="1" ht="10.5" customHeight="1"/>
    <row r="5" spans="1:50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</row>
    <row r="6" spans="1:50" ht="18" customHeight="1">
      <c r="A6" s="933" t="s">
        <v>852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</row>
    <row r="7" spans="1:50" ht="9.75" customHeight="1"/>
    <row r="8" spans="1:50" ht="0.75" customHeight="1"/>
    <row r="9" spans="1:50">
      <c r="A9" s="850" t="s">
        <v>923</v>
      </c>
      <c r="B9" s="850"/>
      <c r="Q9" s="33" t="s">
        <v>25</v>
      </c>
      <c r="R9" s="19"/>
      <c r="S9" s="22"/>
    </row>
    <row r="10" spans="1:50" ht="15.75">
      <c r="A10" s="13"/>
      <c r="N10" s="941" t="s">
        <v>785</v>
      </c>
      <c r="O10" s="941"/>
      <c r="P10" s="941"/>
      <c r="Q10" s="941"/>
    </row>
    <row r="11" spans="1:50" ht="28.5" customHeight="1">
      <c r="A11" s="924" t="s">
        <v>2</v>
      </c>
      <c r="B11" s="924" t="s">
        <v>3</v>
      </c>
      <c r="C11" s="844" t="s">
        <v>763</v>
      </c>
      <c r="D11" s="844"/>
      <c r="E11" s="844"/>
      <c r="F11" s="844" t="s">
        <v>794</v>
      </c>
      <c r="G11" s="844"/>
      <c r="H11" s="844"/>
      <c r="I11" s="885" t="s">
        <v>374</v>
      </c>
      <c r="J11" s="886"/>
      <c r="K11" s="960"/>
      <c r="L11" s="885" t="s">
        <v>97</v>
      </c>
      <c r="M11" s="886"/>
      <c r="N11" s="960"/>
      <c r="O11" s="961" t="s">
        <v>793</v>
      </c>
      <c r="P11" s="962"/>
      <c r="Q11" s="963"/>
    </row>
    <row r="12" spans="1:50" ht="39.75" customHeight="1">
      <c r="A12" s="925"/>
      <c r="B12" s="925"/>
      <c r="C12" s="5" t="s">
        <v>116</v>
      </c>
      <c r="D12" s="5" t="s">
        <v>669</v>
      </c>
      <c r="E12" s="39" t="s">
        <v>19</v>
      </c>
      <c r="F12" s="5" t="s">
        <v>116</v>
      </c>
      <c r="G12" s="5" t="s">
        <v>670</v>
      </c>
      <c r="H12" s="39" t="s">
        <v>19</v>
      </c>
      <c r="I12" s="5" t="s">
        <v>116</v>
      </c>
      <c r="J12" s="5" t="s">
        <v>670</v>
      </c>
      <c r="K12" s="39" t="s">
        <v>19</v>
      </c>
      <c r="L12" s="5" t="s">
        <v>116</v>
      </c>
      <c r="M12" s="5" t="s">
        <v>670</v>
      </c>
      <c r="N12" s="39" t="s">
        <v>19</v>
      </c>
      <c r="O12" s="5" t="s">
        <v>235</v>
      </c>
      <c r="P12" s="5" t="s">
        <v>671</v>
      </c>
      <c r="Q12" s="5" t="s">
        <v>117</v>
      </c>
    </row>
    <row r="13" spans="1:50" s="70" customFormat="1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  <c r="Q13" s="67">
        <v>17</v>
      </c>
    </row>
    <row r="14" spans="1:50" ht="14.25">
      <c r="A14" s="445">
        <v>1</v>
      </c>
      <c r="B14" s="385" t="s">
        <v>889</v>
      </c>
      <c r="C14" s="705">
        <v>636.56501040000001</v>
      </c>
      <c r="D14" s="705">
        <v>424.3766736</v>
      </c>
      <c r="E14" s="705">
        <f>C14+D14</f>
        <v>1060.9416839999999</v>
      </c>
      <c r="F14" s="448">
        <v>12.050000000000068</v>
      </c>
      <c r="G14" s="448">
        <v>8.0400000000000205</v>
      </c>
      <c r="H14" s="448">
        <f>F14+G14</f>
        <v>20.090000000000089</v>
      </c>
      <c r="I14" s="429">
        <v>638.25763069524226</v>
      </c>
      <c r="J14" s="429">
        <v>292.68850000000003</v>
      </c>
      <c r="K14" s="429">
        <f>J14+I14</f>
        <v>930.94613069524235</v>
      </c>
      <c r="L14" s="610">
        <v>570.55720560000009</v>
      </c>
      <c r="M14" s="610">
        <v>380.37147040000002</v>
      </c>
      <c r="N14" s="467">
        <f>M14+L14</f>
        <v>950.92867600000011</v>
      </c>
      <c r="O14" s="429">
        <f>F14+I14-L14</f>
        <v>79.750425095242235</v>
      </c>
      <c r="P14" s="429">
        <f>G14+J14-M14</f>
        <v>-79.642970399999967</v>
      </c>
      <c r="Q14" s="429">
        <f>H14+K14-N14</f>
        <v>0.1074546952423816</v>
      </c>
      <c r="R14" s="15">
        <v>1020.42</v>
      </c>
      <c r="S14" s="464">
        <f>R14*65/100</f>
        <v>663.27300000000002</v>
      </c>
      <c r="T14" s="464">
        <f>R14-S14</f>
        <v>357.14699999999993</v>
      </c>
      <c r="U14" s="15">
        <v>1017.374288</v>
      </c>
      <c r="V14" s="480">
        <f>U14*60/100</f>
        <v>610.42457280000008</v>
      </c>
      <c r="W14" s="480">
        <f>U14-V14</f>
        <v>406.9497151999999</v>
      </c>
      <c r="X14" s="464">
        <f>N14-U14</f>
        <v>-66.445611999999869</v>
      </c>
      <c r="Z14" s="15">
        <v>450.29</v>
      </c>
      <c r="AA14" s="464">
        <f>Z14*65/100</f>
        <v>292.68850000000003</v>
      </c>
      <c r="AB14" s="464">
        <f>Z14-AA14</f>
        <v>157.60149999999999</v>
      </c>
      <c r="AC14" s="15">
        <v>969.65492860400002</v>
      </c>
      <c r="AD14" s="464">
        <f>AC14*60/100</f>
        <v>581.79295716239994</v>
      </c>
      <c r="AE14" s="464">
        <f>AC14-AD14</f>
        <v>387.86197144160008</v>
      </c>
      <c r="AG14" s="15">
        <v>940.14659200000006</v>
      </c>
      <c r="AH14" s="15">
        <f>AG14*60/100</f>
        <v>564.08795520000001</v>
      </c>
      <c r="AI14" s="15">
        <f>AG14-AH14</f>
        <v>376.05863680000004</v>
      </c>
      <c r="AJ14" s="15">
        <v>1406.805312</v>
      </c>
      <c r="AK14" s="15">
        <f>AJ14*60/100</f>
        <v>844.0831872</v>
      </c>
      <c r="AL14" s="15">
        <f>AJ14-AK14</f>
        <v>562.72212479999996</v>
      </c>
      <c r="AM14" s="464">
        <f>L14/C14</f>
        <v>0.89630626295573113</v>
      </c>
      <c r="AN14" s="464">
        <f>M14/D14</f>
        <v>0.89630626295573101</v>
      </c>
      <c r="AQ14" s="464">
        <v>0.93949748137146427</v>
      </c>
      <c r="AS14" s="15">
        <v>567.80753231999995</v>
      </c>
      <c r="AT14" s="15">
        <v>378.53835488000004</v>
      </c>
      <c r="AU14" s="15">
        <f>AS14+AT14</f>
        <v>946.34588719999999</v>
      </c>
      <c r="AV14" s="717">
        <f>AU14*60/100</f>
        <v>567.80753232000006</v>
      </c>
      <c r="AX14" s="464">
        <f>L14+M14</f>
        <v>950.92867600000011</v>
      </c>
    </row>
    <row r="15" spans="1:50" ht="14.25">
      <c r="A15" s="445">
        <v>2</v>
      </c>
      <c r="B15" s="385" t="s">
        <v>890</v>
      </c>
      <c r="C15" s="705">
        <v>863.90143920000003</v>
      </c>
      <c r="D15" s="705">
        <v>575.93429279999998</v>
      </c>
      <c r="E15" s="705">
        <f t="shared" ref="E15:E47" si="0">C15+D15</f>
        <v>1439.835732</v>
      </c>
      <c r="F15" s="448">
        <v>16.389999999999986</v>
      </c>
      <c r="G15" s="448">
        <v>10.92999999999995</v>
      </c>
      <c r="H15" s="684">
        <f t="shared" ref="H15:H47" si="1">F15+G15</f>
        <v>27.319999999999936</v>
      </c>
      <c r="I15" s="429">
        <v>616.82850697401091</v>
      </c>
      <c r="J15" s="429">
        <v>312.18199999999996</v>
      </c>
      <c r="K15" s="685">
        <f t="shared" ref="K15:K47" si="2">J15+I15</f>
        <v>929.01050697401092</v>
      </c>
      <c r="L15" s="610">
        <v>746.46076560000006</v>
      </c>
      <c r="M15" s="610">
        <v>497.64051040000004</v>
      </c>
      <c r="N15" s="467">
        <f t="shared" ref="N15:N47" si="3">M15+L15</f>
        <v>1244.1012760000001</v>
      </c>
      <c r="O15" s="685">
        <f t="shared" ref="O15:O47" si="4">F15+I15-L15</f>
        <v>-113.24225862598917</v>
      </c>
      <c r="P15" s="685">
        <f t="shared" ref="P15:P47" si="5">G15+J15-M15</f>
        <v>-174.52851040000013</v>
      </c>
      <c r="Q15" s="685">
        <f t="shared" ref="Q15:Q47" si="6">H15+K15-N15</f>
        <v>-287.77076902598924</v>
      </c>
      <c r="R15" s="15">
        <v>986.16</v>
      </c>
      <c r="S15" s="464">
        <f t="shared" ref="S15:S46" si="7">R15*65/100</f>
        <v>641.00400000000002</v>
      </c>
      <c r="T15" s="464">
        <f t="shared" ref="T15:T46" si="8">R15-S15</f>
        <v>345.15599999999995</v>
      </c>
      <c r="U15" s="15">
        <v>1376.5884719999999</v>
      </c>
      <c r="V15" s="480">
        <f t="shared" ref="V15:V47" si="9">U15*60/100</f>
        <v>825.95308319999992</v>
      </c>
      <c r="W15" s="480">
        <f t="shared" ref="W15:W47" si="10">U15-V15</f>
        <v>550.63538879999999</v>
      </c>
      <c r="X15" s="464">
        <f t="shared" ref="X15:X47" si="11">N15-U15</f>
        <v>-132.48719599999981</v>
      </c>
      <c r="Z15" s="15">
        <v>480.28</v>
      </c>
      <c r="AA15" s="464">
        <f t="shared" ref="AA15:AA46" si="12">Z15*65/100</f>
        <v>312.18199999999996</v>
      </c>
      <c r="AB15" s="464">
        <f t="shared" ref="AB15:AB46" si="13">Z15-AA15</f>
        <v>168.09800000000001</v>
      </c>
      <c r="AC15" s="15">
        <v>1326.9615037519998</v>
      </c>
      <c r="AD15" s="464">
        <f t="shared" ref="AD15:AD46" si="14">AC15*60/100</f>
        <v>796.17690225119998</v>
      </c>
      <c r="AE15" s="464">
        <f t="shared" ref="AE15:AE46" si="15">AC15-AD15</f>
        <v>530.78460150079979</v>
      </c>
      <c r="AG15" s="15">
        <v>1227.3646335999999</v>
      </c>
      <c r="AH15" s="509">
        <f t="shared" ref="AH15:AH47" si="16">AG15*60/100</f>
        <v>736.41878015999998</v>
      </c>
      <c r="AI15" s="509">
        <f t="shared" ref="AI15:AI47" si="17">AG15-AH15</f>
        <v>490.94585343999995</v>
      </c>
      <c r="AJ15" s="15">
        <v>1836.5892095999998</v>
      </c>
      <c r="AK15" s="622">
        <f t="shared" ref="AK15:AK47" si="18">AJ15*60/100</f>
        <v>1101.9535257599998</v>
      </c>
      <c r="AL15" s="622">
        <f t="shared" ref="AL15:AL47" si="19">AJ15-AK15</f>
        <v>734.63568383999996</v>
      </c>
      <c r="AM15" s="464">
        <f t="shared" ref="AM15:AM47" si="20">L15/C15</f>
        <v>0.86405778683647783</v>
      </c>
      <c r="AN15" s="464">
        <f t="shared" ref="AN15:AN47" si="21">M15/D15</f>
        <v>0.86405778683647794</v>
      </c>
      <c r="AQ15" s="464">
        <v>0.90569695071298584</v>
      </c>
      <c r="AS15" s="15">
        <v>742.86336431999996</v>
      </c>
      <c r="AT15" s="15">
        <v>495.24224287999994</v>
      </c>
      <c r="AU15" s="717">
        <f t="shared" ref="AU15:AU46" si="22">AS15+AT15</f>
        <v>1238.1056071999999</v>
      </c>
      <c r="AX15" s="464">
        <f t="shared" ref="AX15:AX46" si="23">L15+M15</f>
        <v>1244.1012760000001</v>
      </c>
    </row>
    <row r="16" spans="1:50" ht="14.25">
      <c r="A16" s="445">
        <v>3</v>
      </c>
      <c r="B16" s="385" t="s">
        <v>891</v>
      </c>
      <c r="C16" s="705">
        <v>824.86356479999995</v>
      </c>
      <c r="D16" s="705">
        <v>549.90904320000004</v>
      </c>
      <c r="E16" s="705">
        <f t="shared" si="0"/>
        <v>1374.772608</v>
      </c>
      <c r="F16" s="448">
        <v>21.810000000000059</v>
      </c>
      <c r="G16" s="448">
        <v>14.549999999999955</v>
      </c>
      <c r="H16" s="684">
        <f t="shared" si="1"/>
        <v>36.360000000000014</v>
      </c>
      <c r="I16" s="429">
        <v>554.3738075121031</v>
      </c>
      <c r="J16" s="429">
        <v>284.45949999999999</v>
      </c>
      <c r="K16" s="685">
        <f t="shared" si="2"/>
        <v>838.83330751210315</v>
      </c>
      <c r="L16" s="610">
        <v>775.32743520000008</v>
      </c>
      <c r="M16" s="610">
        <v>516.88495680000005</v>
      </c>
      <c r="N16" s="467">
        <f t="shared" si="3"/>
        <v>1292.2123920000001</v>
      </c>
      <c r="O16" s="685">
        <f t="shared" si="4"/>
        <v>-199.14362768789692</v>
      </c>
      <c r="P16" s="685">
        <f t="shared" si="5"/>
        <v>-217.87545680000011</v>
      </c>
      <c r="Q16" s="685">
        <f t="shared" si="6"/>
        <v>-417.01908448789698</v>
      </c>
      <c r="R16" s="15">
        <v>886.31</v>
      </c>
      <c r="S16" s="464">
        <f t="shared" si="7"/>
        <v>576.10149999999999</v>
      </c>
      <c r="T16" s="464">
        <f t="shared" si="8"/>
        <v>310.20849999999996</v>
      </c>
      <c r="U16" s="15">
        <v>1298.2397288</v>
      </c>
      <c r="V16" s="480">
        <f t="shared" si="9"/>
        <v>778.94383728000003</v>
      </c>
      <c r="W16" s="480">
        <f t="shared" si="10"/>
        <v>519.29589151999994</v>
      </c>
      <c r="X16" s="464">
        <f t="shared" si="11"/>
        <v>-6.02733679999983</v>
      </c>
      <c r="Z16" s="15">
        <v>437.63</v>
      </c>
      <c r="AA16" s="464">
        <f t="shared" si="12"/>
        <v>284.45949999999999</v>
      </c>
      <c r="AB16" s="464">
        <f t="shared" si="13"/>
        <v>153.1705</v>
      </c>
      <c r="AC16" s="15">
        <v>1284.977258764</v>
      </c>
      <c r="AD16" s="464">
        <f t="shared" si="14"/>
        <v>770.98635525839995</v>
      </c>
      <c r="AE16" s="464">
        <f t="shared" si="15"/>
        <v>513.99090350560004</v>
      </c>
      <c r="AG16" s="15">
        <v>1281.8551927999999</v>
      </c>
      <c r="AH16" s="509">
        <f t="shared" si="16"/>
        <v>769.11311567999985</v>
      </c>
      <c r="AI16" s="509">
        <f t="shared" si="17"/>
        <v>512.74207712000009</v>
      </c>
      <c r="AJ16" s="15">
        <v>1918.1271407999998</v>
      </c>
      <c r="AK16" s="622">
        <f t="shared" si="18"/>
        <v>1150.8762844799999</v>
      </c>
      <c r="AL16" s="622">
        <f t="shared" si="19"/>
        <v>767.25085631999991</v>
      </c>
      <c r="AM16" s="464">
        <f t="shared" si="20"/>
        <v>0.93994627510064577</v>
      </c>
      <c r="AN16" s="464">
        <f t="shared" si="21"/>
        <v>0.93994627510064566</v>
      </c>
      <c r="AQ16" s="464">
        <v>0.98524514390091777</v>
      </c>
      <c r="AS16" s="15">
        <v>771.59091743999988</v>
      </c>
      <c r="AT16" s="15">
        <v>514.39394496</v>
      </c>
      <c r="AU16" s="717">
        <f t="shared" si="22"/>
        <v>1285.9848623999999</v>
      </c>
      <c r="AX16" s="464">
        <f t="shared" si="23"/>
        <v>1292.2123920000001</v>
      </c>
    </row>
    <row r="17" spans="1:50" ht="14.25">
      <c r="A17" s="445">
        <v>4</v>
      </c>
      <c r="B17" s="385" t="s">
        <v>892</v>
      </c>
      <c r="C17" s="705">
        <v>346.44826799999998</v>
      </c>
      <c r="D17" s="705">
        <v>230.96551199999999</v>
      </c>
      <c r="E17" s="705">
        <f t="shared" si="0"/>
        <v>577.41377999999997</v>
      </c>
      <c r="F17" s="448">
        <v>12.399999999999977</v>
      </c>
      <c r="G17" s="448">
        <v>8.2699999999999818</v>
      </c>
      <c r="H17" s="684">
        <f t="shared" si="1"/>
        <v>20.669999999999959</v>
      </c>
      <c r="I17" s="429">
        <v>358.97222401786189</v>
      </c>
      <c r="J17" s="429">
        <v>191.57449999999997</v>
      </c>
      <c r="K17" s="685">
        <f t="shared" si="2"/>
        <v>550.54672401786183</v>
      </c>
      <c r="L17" s="610">
        <v>458.26776720000004</v>
      </c>
      <c r="M17" s="610">
        <v>305.51184480000001</v>
      </c>
      <c r="N17" s="467">
        <f t="shared" si="3"/>
        <v>763.77961200000004</v>
      </c>
      <c r="O17" s="685">
        <f t="shared" si="4"/>
        <v>-86.895543182138169</v>
      </c>
      <c r="P17" s="685">
        <f t="shared" si="5"/>
        <v>-105.66734480000005</v>
      </c>
      <c r="Q17" s="685">
        <f t="shared" si="6"/>
        <v>-192.56288798213825</v>
      </c>
      <c r="R17" s="15">
        <v>573.91000000000008</v>
      </c>
      <c r="S17" s="464">
        <f t="shared" si="7"/>
        <v>373.0415000000001</v>
      </c>
      <c r="T17" s="464">
        <f t="shared" si="8"/>
        <v>200.86849999999998</v>
      </c>
      <c r="U17" s="15">
        <v>575.183448</v>
      </c>
      <c r="V17" s="480">
        <f t="shared" si="9"/>
        <v>345.11006880000002</v>
      </c>
      <c r="W17" s="480">
        <f t="shared" si="10"/>
        <v>230.07337919999998</v>
      </c>
      <c r="X17" s="464">
        <f t="shared" si="11"/>
        <v>188.59616400000004</v>
      </c>
      <c r="Z17" s="15">
        <v>294.72999999999996</v>
      </c>
      <c r="AA17" s="464">
        <f t="shared" si="12"/>
        <v>191.57449999999997</v>
      </c>
      <c r="AB17" s="464">
        <f t="shared" si="13"/>
        <v>103.15549999999999</v>
      </c>
      <c r="AC17" s="15">
        <v>568.35546152799998</v>
      </c>
      <c r="AD17" s="464">
        <f t="shared" si="14"/>
        <v>341.01327691679995</v>
      </c>
      <c r="AE17" s="464">
        <f t="shared" si="15"/>
        <v>227.34218461120003</v>
      </c>
      <c r="AG17" s="15">
        <v>913.40434640000001</v>
      </c>
      <c r="AH17" s="509">
        <f t="shared" si="16"/>
        <v>548.04260783999996</v>
      </c>
      <c r="AI17" s="509">
        <f t="shared" si="17"/>
        <v>365.36173856000005</v>
      </c>
      <c r="AJ17" s="15">
        <v>1137.3874704</v>
      </c>
      <c r="AK17" s="622">
        <f t="shared" si="18"/>
        <v>682.4324822399999</v>
      </c>
      <c r="AL17" s="622">
        <f t="shared" si="19"/>
        <v>454.95498816000008</v>
      </c>
      <c r="AM17" s="464">
        <f t="shared" si="20"/>
        <v>1.3227595849894682</v>
      </c>
      <c r="AN17" s="464">
        <f t="shared" si="21"/>
        <v>1.3227595849894682</v>
      </c>
      <c r="AQ17" s="464">
        <v>1.3864973918703498</v>
      </c>
      <c r="AS17" s="15">
        <v>456.05924783999995</v>
      </c>
      <c r="AT17" s="15">
        <v>304.03949856000003</v>
      </c>
      <c r="AU17" s="717">
        <f t="shared" si="22"/>
        <v>760.09874639999998</v>
      </c>
      <c r="AX17" s="464">
        <f t="shared" si="23"/>
        <v>763.77961200000004</v>
      </c>
    </row>
    <row r="18" spans="1:50" ht="14.25">
      <c r="A18" s="445">
        <v>5</v>
      </c>
      <c r="B18" s="385" t="s">
        <v>893</v>
      </c>
      <c r="C18" s="705">
        <v>1416.0382167999999</v>
      </c>
      <c r="D18" s="705">
        <v>943.77321119999999</v>
      </c>
      <c r="E18" s="705">
        <f t="shared" si="0"/>
        <v>2359.811428</v>
      </c>
      <c r="F18" s="448">
        <v>117.74000000000001</v>
      </c>
      <c r="G18" s="448">
        <v>78.499999999999886</v>
      </c>
      <c r="H18" s="684">
        <f t="shared" si="1"/>
        <v>196.2399999999999</v>
      </c>
      <c r="I18" s="429">
        <v>1029.1108365015214</v>
      </c>
      <c r="J18" s="429">
        <v>522.48300000000006</v>
      </c>
      <c r="K18" s="685">
        <f t="shared" si="2"/>
        <v>1551.5938365015213</v>
      </c>
      <c r="L18" s="610">
        <v>1202.3773752000002</v>
      </c>
      <c r="M18" s="610">
        <v>801.58491679999997</v>
      </c>
      <c r="N18" s="467">
        <f t="shared" si="3"/>
        <v>2003.9622920000002</v>
      </c>
      <c r="O18" s="685">
        <f t="shared" si="4"/>
        <v>-55.526538698478817</v>
      </c>
      <c r="P18" s="685">
        <f t="shared" si="5"/>
        <v>-200.60191680000003</v>
      </c>
      <c r="Q18" s="685">
        <f t="shared" si="6"/>
        <v>-256.12845549847907</v>
      </c>
      <c r="R18" s="15">
        <v>1645.3000000000002</v>
      </c>
      <c r="S18" s="464">
        <f t="shared" si="7"/>
        <v>1069.4450000000002</v>
      </c>
      <c r="T18" s="464">
        <f t="shared" si="8"/>
        <v>575.85500000000002</v>
      </c>
      <c r="U18" s="15">
        <v>2074.1193703999998</v>
      </c>
      <c r="V18" s="480">
        <f t="shared" si="9"/>
        <v>1244.4716222399998</v>
      </c>
      <c r="W18" s="480">
        <f t="shared" si="10"/>
        <v>829.64774815999999</v>
      </c>
      <c r="X18" s="464">
        <f t="shared" si="11"/>
        <v>-70.157078399999591</v>
      </c>
      <c r="Z18" s="15">
        <v>803.82</v>
      </c>
      <c r="AA18" s="464">
        <f t="shared" si="12"/>
        <v>522.48300000000006</v>
      </c>
      <c r="AB18" s="464">
        <f t="shared" si="13"/>
        <v>281.33699999999999</v>
      </c>
      <c r="AC18" s="15">
        <v>1853.7414975639999</v>
      </c>
      <c r="AD18" s="464">
        <f t="shared" si="14"/>
        <v>1112.2448985384001</v>
      </c>
      <c r="AE18" s="464">
        <f t="shared" si="15"/>
        <v>741.49659902559983</v>
      </c>
      <c r="AG18" s="15">
        <v>1994.3046424000001</v>
      </c>
      <c r="AH18" s="509">
        <f t="shared" si="16"/>
        <v>1196.5827854400002</v>
      </c>
      <c r="AI18" s="509">
        <f t="shared" si="17"/>
        <v>797.72185695999997</v>
      </c>
      <c r="AJ18" s="15">
        <v>2984.2137263999998</v>
      </c>
      <c r="AK18" s="622">
        <f t="shared" si="18"/>
        <v>1790.52823584</v>
      </c>
      <c r="AL18" s="622">
        <f t="shared" si="19"/>
        <v>1193.6854905599998</v>
      </c>
      <c r="AM18" s="464">
        <f t="shared" si="20"/>
        <v>0.84911364745307794</v>
      </c>
      <c r="AN18" s="464">
        <f t="shared" si="21"/>
        <v>0.84934061201079358</v>
      </c>
      <c r="AQ18" s="464">
        <v>0.88425973043139672</v>
      </c>
      <c r="AS18" s="15">
        <v>1196.58278544</v>
      </c>
      <c r="AT18" s="15">
        <v>797.7218569600002</v>
      </c>
      <c r="AU18" s="717">
        <f t="shared" si="22"/>
        <v>1994.3046424000001</v>
      </c>
      <c r="AX18" s="464">
        <f t="shared" si="23"/>
        <v>2003.9622920000002</v>
      </c>
    </row>
    <row r="19" spans="1:50" ht="14.25">
      <c r="A19" s="445">
        <v>6</v>
      </c>
      <c r="B19" s="385" t="s">
        <v>894</v>
      </c>
      <c r="C19" s="705">
        <v>592.16222879999998</v>
      </c>
      <c r="D19" s="705">
        <v>394.77481920000002</v>
      </c>
      <c r="E19" s="705">
        <f t="shared" si="0"/>
        <v>986.937048</v>
      </c>
      <c r="F19" s="448">
        <v>31.729999999999905</v>
      </c>
      <c r="G19" s="448">
        <v>21.159999999999968</v>
      </c>
      <c r="H19" s="684">
        <f t="shared" si="1"/>
        <v>52.889999999999873</v>
      </c>
      <c r="I19" s="429">
        <v>756.4555731821398</v>
      </c>
      <c r="J19" s="429">
        <v>276.86750000000006</v>
      </c>
      <c r="K19" s="685">
        <f t="shared" si="2"/>
        <v>1033.32307318214</v>
      </c>
      <c r="L19" s="610">
        <v>520.9171632</v>
      </c>
      <c r="M19" s="610">
        <v>347.27810880000004</v>
      </c>
      <c r="N19" s="467">
        <f t="shared" si="3"/>
        <v>868.19527200000005</v>
      </c>
      <c r="O19" s="685">
        <f t="shared" si="4"/>
        <v>267.2684099821397</v>
      </c>
      <c r="P19" s="685">
        <f t="shared" si="5"/>
        <v>-49.250608800000009</v>
      </c>
      <c r="Q19" s="685">
        <f t="shared" si="6"/>
        <v>218.01780118213981</v>
      </c>
      <c r="R19" s="15">
        <v>1209.3899999999999</v>
      </c>
      <c r="S19" s="464">
        <f t="shared" si="7"/>
        <v>786.10349999999994</v>
      </c>
      <c r="T19" s="464">
        <f t="shared" si="8"/>
        <v>423.28649999999993</v>
      </c>
      <c r="U19" s="15">
        <v>920.75343359999999</v>
      </c>
      <c r="V19" s="480">
        <f t="shared" si="9"/>
        <v>552.45206015999997</v>
      </c>
      <c r="W19" s="480">
        <f t="shared" si="10"/>
        <v>368.30137344000002</v>
      </c>
      <c r="X19" s="464">
        <f t="shared" si="11"/>
        <v>-52.558161599999949</v>
      </c>
      <c r="Z19" s="15">
        <v>425.95000000000005</v>
      </c>
      <c r="AA19" s="464">
        <f t="shared" si="12"/>
        <v>276.86750000000006</v>
      </c>
      <c r="AB19" s="464">
        <f t="shared" si="13"/>
        <v>149.08249999999998</v>
      </c>
      <c r="AC19" s="15">
        <v>918.67053574800013</v>
      </c>
      <c r="AD19" s="464">
        <f t="shared" si="14"/>
        <v>551.20232144880003</v>
      </c>
      <c r="AE19" s="464">
        <f t="shared" si="15"/>
        <v>367.4682142992001</v>
      </c>
      <c r="AG19" s="15">
        <v>864.01119840000001</v>
      </c>
      <c r="AH19" s="509">
        <f t="shared" si="16"/>
        <v>518.40671903999998</v>
      </c>
      <c r="AI19" s="509">
        <f t="shared" si="17"/>
        <v>345.60447936000003</v>
      </c>
      <c r="AJ19" s="15">
        <v>1292.8787424</v>
      </c>
      <c r="AK19" s="622">
        <f t="shared" si="18"/>
        <v>775.72724543999993</v>
      </c>
      <c r="AL19" s="622">
        <f t="shared" si="19"/>
        <v>517.15149696000003</v>
      </c>
      <c r="AM19" s="464">
        <f t="shared" si="20"/>
        <v>0.87968657551094387</v>
      </c>
      <c r="AN19" s="464">
        <f t="shared" si="21"/>
        <v>0.87968657551094387</v>
      </c>
      <c r="AQ19" s="464">
        <v>0.92208110927050735</v>
      </c>
      <c r="AS19" s="15">
        <v>518.40671903999998</v>
      </c>
      <c r="AT19" s="15">
        <v>345.60447936000003</v>
      </c>
      <c r="AU19" s="717">
        <f t="shared" si="22"/>
        <v>864.01119840000001</v>
      </c>
      <c r="AX19" s="464">
        <f t="shared" si="23"/>
        <v>868.19527200000005</v>
      </c>
    </row>
    <row r="20" spans="1:50" ht="14.25">
      <c r="A20" s="445">
        <v>7</v>
      </c>
      <c r="B20" s="385" t="s">
        <v>895</v>
      </c>
      <c r="C20" s="705">
        <v>827.7609167999999</v>
      </c>
      <c r="D20" s="705">
        <v>551.75541120000003</v>
      </c>
      <c r="E20" s="705">
        <f t="shared" si="0"/>
        <v>1379.5163279999999</v>
      </c>
      <c r="F20" s="448">
        <v>44.980000000000018</v>
      </c>
      <c r="G20" s="448">
        <v>29.980000000000018</v>
      </c>
      <c r="H20" s="684">
        <f t="shared" si="1"/>
        <v>74.960000000000036</v>
      </c>
      <c r="I20" s="429">
        <v>539.88756976009722</v>
      </c>
      <c r="J20" s="429">
        <v>419.61399999999992</v>
      </c>
      <c r="K20" s="685">
        <f t="shared" si="2"/>
        <v>959.50156976009714</v>
      </c>
      <c r="L20" s="610">
        <v>801.29992800000002</v>
      </c>
      <c r="M20" s="610">
        <v>534.19995200000005</v>
      </c>
      <c r="N20" s="467">
        <f t="shared" si="3"/>
        <v>1335.4998800000001</v>
      </c>
      <c r="O20" s="685">
        <f t="shared" si="4"/>
        <v>-216.43235823990278</v>
      </c>
      <c r="P20" s="685">
        <f t="shared" si="5"/>
        <v>-84.605952000000116</v>
      </c>
      <c r="Q20" s="685">
        <f t="shared" si="6"/>
        <v>-301.03831023990301</v>
      </c>
      <c r="R20" s="15">
        <v>863.14999999999986</v>
      </c>
      <c r="S20" s="464">
        <f t="shared" si="7"/>
        <v>561.0474999999999</v>
      </c>
      <c r="T20" s="464">
        <f t="shared" si="8"/>
        <v>302.10249999999996</v>
      </c>
      <c r="U20" s="15">
        <v>1216.7769656</v>
      </c>
      <c r="V20" s="480">
        <f t="shared" si="9"/>
        <v>730.06617935999998</v>
      </c>
      <c r="W20" s="480">
        <f t="shared" si="10"/>
        <v>486.71078624000006</v>
      </c>
      <c r="X20" s="464">
        <f t="shared" si="11"/>
        <v>118.72291440000004</v>
      </c>
      <c r="Z20" s="15">
        <v>645.55999999999995</v>
      </c>
      <c r="AA20" s="464">
        <f t="shared" si="12"/>
        <v>419.61399999999992</v>
      </c>
      <c r="AB20" s="464">
        <f t="shared" si="13"/>
        <v>225.94600000000003</v>
      </c>
      <c r="AC20" s="15">
        <v>1180.9293472719999</v>
      </c>
      <c r="AD20" s="464">
        <f t="shared" si="14"/>
        <v>708.55760836319996</v>
      </c>
      <c r="AE20" s="464">
        <f t="shared" si="15"/>
        <v>472.3717389087999</v>
      </c>
      <c r="AG20" s="15">
        <v>1326.5821016</v>
      </c>
      <c r="AH20" s="509">
        <f t="shared" si="16"/>
        <v>795.94926095999995</v>
      </c>
      <c r="AI20" s="509">
        <f t="shared" si="17"/>
        <v>530.63284064000004</v>
      </c>
      <c r="AJ20" s="15">
        <v>1985.0550575999998</v>
      </c>
      <c r="AK20" s="622">
        <f t="shared" si="18"/>
        <v>1191.03303456</v>
      </c>
      <c r="AL20" s="622">
        <f t="shared" si="19"/>
        <v>794.02202303999979</v>
      </c>
      <c r="AM20" s="464">
        <f t="shared" si="20"/>
        <v>0.96803305367171222</v>
      </c>
      <c r="AN20" s="464">
        <f t="shared" si="21"/>
        <v>0.96818253370307872</v>
      </c>
      <c r="AQ20" s="464">
        <v>1.0106256183600877</v>
      </c>
      <c r="AS20" s="15">
        <v>797.43824159999986</v>
      </c>
      <c r="AT20" s="15">
        <v>531.62549439999998</v>
      </c>
      <c r="AU20" s="717">
        <f t="shared" si="22"/>
        <v>1329.0637359999998</v>
      </c>
      <c r="AX20" s="464">
        <f t="shared" si="23"/>
        <v>1335.4998800000001</v>
      </c>
    </row>
    <row r="21" spans="1:50" ht="14.25">
      <c r="A21" s="445">
        <v>8</v>
      </c>
      <c r="B21" s="385" t="s">
        <v>896</v>
      </c>
      <c r="C21" s="705">
        <v>579.22205839999992</v>
      </c>
      <c r="D21" s="705">
        <v>386.13550560000004</v>
      </c>
      <c r="E21" s="705">
        <f t="shared" si="0"/>
        <v>965.35756399999991</v>
      </c>
      <c r="F21" s="448">
        <v>4.67999999999995</v>
      </c>
      <c r="G21" s="448">
        <v>3.1200000000000045</v>
      </c>
      <c r="H21" s="684">
        <f t="shared" si="1"/>
        <v>7.7999999999999545</v>
      </c>
      <c r="I21" s="429">
        <v>390.8031669884827</v>
      </c>
      <c r="J21" s="429">
        <v>275.26850000000002</v>
      </c>
      <c r="K21" s="685">
        <f t="shared" si="2"/>
        <v>666.07166698848278</v>
      </c>
      <c r="L21" s="610">
        <v>555.86680320000005</v>
      </c>
      <c r="M21" s="610">
        <v>370.57786880000003</v>
      </c>
      <c r="N21" s="467">
        <f t="shared" si="3"/>
        <v>926.44467200000008</v>
      </c>
      <c r="O21" s="685">
        <f t="shared" si="4"/>
        <v>-160.3836362115174</v>
      </c>
      <c r="P21" s="685">
        <f t="shared" si="5"/>
        <v>-92.189368800000011</v>
      </c>
      <c r="Q21" s="685">
        <f t="shared" si="6"/>
        <v>-252.57300501151735</v>
      </c>
      <c r="R21" s="15">
        <v>624.80000000000007</v>
      </c>
      <c r="S21" s="464">
        <f t="shared" si="7"/>
        <v>406.12000000000006</v>
      </c>
      <c r="T21" s="464">
        <f t="shared" si="8"/>
        <v>218.68</v>
      </c>
      <c r="U21" s="15">
        <v>940.79814079999994</v>
      </c>
      <c r="V21" s="480">
        <f t="shared" si="9"/>
        <v>564.47888448000003</v>
      </c>
      <c r="W21" s="480">
        <f t="shared" si="10"/>
        <v>376.31925631999991</v>
      </c>
      <c r="X21" s="464">
        <f t="shared" si="11"/>
        <v>-14.35346879999986</v>
      </c>
      <c r="Z21" s="15">
        <v>423.49</v>
      </c>
      <c r="AA21" s="464">
        <f t="shared" si="12"/>
        <v>275.26850000000002</v>
      </c>
      <c r="AB21" s="464">
        <f t="shared" si="13"/>
        <v>148.22149999999999</v>
      </c>
      <c r="AC21" s="15">
        <v>914.95630087999984</v>
      </c>
      <c r="AD21" s="464">
        <f t="shared" si="14"/>
        <v>548.97378052799991</v>
      </c>
      <c r="AE21" s="464">
        <f t="shared" si="15"/>
        <v>365.98252035199994</v>
      </c>
      <c r="AG21" s="15">
        <v>921.97987840000008</v>
      </c>
      <c r="AH21" s="509">
        <f t="shared" si="16"/>
        <v>553.18792704000009</v>
      </c>
      <c r="AI21" s="509">
        <f t="shared" si="17"/>
        <v>368.79195135999998</v>
      </c>
      <c r="AJ21" s="15">
        <v>1379.6212223999999</v>
      </c>
      <c r="AK21" s="622">
        <f t="shared" si="18"/>
        <v>827.77273343999991</v>
      </c>
      <c r="AL21" s="622">
        <f t="shared" si="19"/>
        <v>551.84848895999994</v>
      </c>
      <c r="AM21" s="464">
        <f t="shared" si="20"/>
        <v>0.95967823590055479</v>
      </c>
      <c r="AN21" s="464">
        <f t="shared" si="21"/>
        <v>0.95970938550231055</v>
      </c>
      <c r="AQ21" s="464">
        <v>1.0050796122883181</v>
      </c>
      <c r="AS21" s="15">
        <v>553.18792703999998</v>
      </c>
      <c r="AT21" s="15">
        <v>368.7919513600001</v>
      </c>
      <c r="AU21" s="717">
        <f t="shared" si="22"/>
        <v>921.97987840000008</v>
      </c>
      <c r="AX21" s="464">
        <f t="shared" si="23"/>
        <v>926.44467200000008</v>
      </c>
    </row>
    <row r="22" spans="1:50" ht="14.25">
      <c r="A22" s="445">
        <v>9</v>
      </c>
      <c r="B22" s="385" t="s">
        <v>897</v>
      </c>
      <c r="C22" s="705">
        <v>306.3991752</v>
      </c>
      <c r="D22" s="705">
        <v>204.26611679999999</v>
      </c>
      <c r="E22" s="705">
        <f t="shared" si="0"/>
        <v>510.66529200000002</v>
      </c>
      <c r="F22" s="448">
        <v>19.569999999999993</v>
      </c>
      <c r="G22" s="448">
        <v>13.050000000000011</v>
      </c>
      <c r="H22" s="684">
        <f t="shared" si="1"/>
        <v>32.620000000000005</v>
      </c>
      <c r="I22" s="429">
        <v>372.81421199074123</v>
      </c>
      <c r="J22" s="429">
        <v>219.167</v>
      </c>
      <c r="K22" s="685">
        <f t="shared" si="2"/>
        <v>591.98121199074126</v>
      </c>
      <c r="L22" s="610">
        <v>354.63775200000003</v>
      </c>
      <c r="M22" s="610">
        <v>236.42516800000004</v>
      </c>
      <c r="N22" s="467">
        <f t="shared" si="3"/>
        <v>591.06292000000008</v>
      </c>
      <c r="O22" s="685">
        <f t="shared" si="4"/>
        <v>37.746459990741187</v>
      </c>
      <c r="P22" s="685">
        <f t="shared" si="5"/>
        <v>-4.208168000000029</v>
      </c>
      <c r="Q22" s="685">
        <f t="shared" si="6"/>
        <v>33.538291990741186</v>
      </c>
      <c r="R22" s="15">
        <v>596.04</v>
      </c>
      <c r="S22" s="464">
        <f t="shared" si="7"/>
        <v>387.42599999999999</v>
      </c>
      <c r="T22" s="464">
        <f t="shared" si="8"/>
        <v>208.61399999999998</v>
      </c>
      <c r="U22" s="15">
        <v>508.01643199999995</v>
      </c>
      <c r="V22" s="480">
        <f t="shared" si="9"/>
        <v>304.80985919999995</v>
      </c>
      <c r="W22" s="480">
        <f t="shared" si="10"/>
        <v>203.2065728</v>
      </c>
      <c r="X22" s="464">
        <f t="shared" si="11"/>
        <v>83.046488000000124</v>
      </c>
      <c r="Z22" s="15">
        <v>337.18</v>
      </c>
      <c r="AA22" s="464">
        <f t="shared" si="12"/>
        <v>219.167</v>
      </c>
      <c r="AB22" s="464">
        <f t="shared" si="13"/>
        <v>118.01300000000001</v>
      </c>
      <c r="AC22" s="15">
        <v>487.81224317600004</v>
      </c>
      <c r="AD22" s="464">
        <f t="shared" si="14"/>
        <v>292.68734590560001</v>
      </c>
      <c r="AE22" s="464">
        <f t="shared" si="15"/>
        <v>195.12489727040003</v>
      </c>
      <c r="AG22" s="15">
        <v>584.08475439999995</v>
      </c>
      <c r="AH22" s="509">
        <f t="shared" si="16"/>
        <v>350.45085263999994</v>
      </c>
      <c r="AI22" s="509">
        <f t="shared" si="17"/>
        <v>233.63390176000001</v>
      </c>
      <c r="AJ22" s="15">
        <v>874.00575839999988</v>
      </c>
      <c r="AK22" s="622">
        <f t="shared" si="18"/>
        <v>524.40345503999993</v>
      </c>
      <c r="AL22" s="622">
        <f t="shared" si="19"/>
        <v>349.60230335999995</v>
      </c>
      <c r="AM22" s="464">
        <f t="shared" si="20"/>
        <v>1.1574370321607839</v>
      </c>
      <c r="AN22" s="464">
        <f t="shared" si="21"/>
        <v>1.1574370321607839</v>
      </c>
      <c r="AQ22" s="464">
        <v>1.2132178115602184</v>
      </c>
      <c r="AS22" s="15">
        <v>352.92865439999997</v>
      </c>
      <c r="AT22" s="15">
        <v>235.28576960000004</v>
      </c>
      <c r="AU22" s="717">
        <f t="shared" si="22"/>
        <v>588.21442400000001</v>
      </c>
      <c r="AX22" s="464">
        <f t="shared" si="23"/>
        <v>591.06292000000008</v>
      </c>
    </row>
    <row r="23" spans="1:50" ht="14.25">
      <c r="A23" s="445">
        <v>10</v>
      </c>
      <c r="B23" s="385" t="s">
        <v>898</v>
      </c>
      <c r="C23" s="705">
        <v>462.9442608</v>
      </c>
      <c r="D23" s="705">
        <v>308.62950719999998</v>
      </c>
      <c r="E23" s="705">
        <f t="shared" si="0"/>
        <v>771.57376799999997</v>
      </c>
      <c r="F23" s="448">
        <v>19</v>
      </c>
      <c r="G23" s="448">
        <v>12.659999999999968</v>
      </c>
      <c r="H23" s="684">
        <f t="shared" si="1"/>
        <v>31.659999999999968</v>
      </c>
      <c r="I23" s="429">
        <v>470.94033368912977</v>
      </c>
      <c r="J23" s="429">
        <v>235.93049999999999</v>
      </c>
      <c r="K23" s="685">
        <f t="shared" si="2"/>
        <v>706.87083368912977</v>
      </c>
      <c r="L23" s="610">
        <v>386.13864240000004</v>
      </c>
      <c r="M23" s="610">
        <v>257.42576160000004</v>
      </c>
      <c r="N23" s="467">
        <f t="shared" si="3"/>
        <v>643.56440400000008</v>
      </c>
      <c r="O23" s="685">
        <f t="shared" si="4"/>
        <v>103.80169128912974</v>
      </c>
      <c r="P23" s="685">
        <f t="shared" si="5"/>
        <v>-8.8352616000000808</v>
      </c>
      <c r="Q23" s="685">
        <f t="shared" si="6"/>
        <v>94.966429689129654</v>
      </c>
      <c r="R23" s="15">
        <v>752.92</v>
      </c>
      <c r="S23" s="464">
        <f t="shared" si="7"/>
        <v>489.39799999999997</v>
      </c>
      <c r="T23" s="464">
        <f t="shared" si="8"/>
        <v>263.52199999999999</v>
      </c>
      <c r="U23" s="15">
        <v>698.21119199999998</v>
      </c>
      <c r="V23" s="480">
        <f t="shared" si="9"/>
        <v>418.92671519999999</v>
      </c>
      <c r="W23" s="480">
        <f t="shared" si="10"/>
        <v>279.28447679999999</v>
      </c>
      <c r="X23" s="464">
        <f t="shared" si="11"/>
        <v>-54.646787999999901</v>
      </c>
      <c r="Z23" s="15">
        <v>362.96999999999997</v>
      </c>
      <c r="AA23" s="464">
        <f t="shared" si="12"/>
        <v>235.93049999999999</v>
      </c>
      <c r="AB23" s="464">
        <f t="shared" si="13"/>
        <v>127.03949999999998</v>
      </c>
      <c r="AC23" s="15">
        <v>695.61205503199994</v>
      </c>
      <c r="AD23" s="464">
        <f t="shared" si="14"/>
        <v>417.3672330192</v>
      </c>
      <c r="AE23" s="464">
        <f t="shared" si="15"/>
        <v>278.24482201279994</v>
      </c>
      <c r="AG23" s="15">
        <v>636.33321920000003</v>
      </c>
      <c r="AH23" s="509">
        <f t="shared" si="16"/>
        <v>381.79993152000003</v>
      </c>
      <c r="AI23" s="509">
        <f t="shared" si="17"/>
        <v>254.53328768</v>
      </c>
      <c r="AJ23" s="15">
        <v>952.18869119999988</v>
      </c>
      <c r="AK23" s="622">
        <f t="shared" si="18"/>
        <v>571.31321471999991</v>
      </c>
      <c r="AL23" s="622">
        <f t="shared" si="19"/>
        <v>380.87547647999997</v>
      </c>
      <c r="AM23" s="464">
        <f t="shared" si="20"/>
        <v>0.83409316217188978</v>
      </c>
      <c r="AN23" s="464">
        <f t="shared" si="21"/>
        <v>0.83409316217188989</v>
      </c>
      <c r="AQ23" s="464">
        <v>0.87429087402567074</v>
      </c>
      <c r="AS23" s="15">
        <v>384.27773327999995</v>
      </c>
      <c r="AT23" s="15">
        <v>256.18515552000002</v>
      </c>
      <c r="AU23" s="717">
        <f t="shared" si="22"/>
        <v>640.46288879999997</v>
      </c>
      <c r="AX23" s="464">
        <f t="shared" si="23"/>
        <v>643.56440400000008</v>
      </c>
    </row>
    <row r="24" spans="1:50" ht="14.25">
      <c r="A24" s="445">
        <v>11</v>
      </c>
      <c r="B24" s="385" t="s">
        <v>899</v>
      </c>
      <c r="C24" s="705">
        <v>490.70393599999994</v>
      </c>
      <c r="D24" s="705">
        <v>327.10862399999996</v>
      </c>
      <c r="E24" s="705">
        <f t="shared" si="0"/>
        <v>817.81255999999985</v>
      </c>
      <c r="F24" s="448">
        <v>20.809999999999945</v>
      </c>
      <c r="G24" s="448">
        <v>13.860000000000014</v>
      </c>
      <c r="H24" s="684">
        <f t="shared" si="1"/>
        <v>34.669999999999959</v>
      </c>
      <c r="I24" s="429">
        <v>547.47470550844912</v>
      </c>
      <c r="J24" s="429">
        <v>269.87350000000004</v>
      </c>
      <c r="K24" s="685">
        <f t="shared" si="2"/>
        <v>817.34820550844915</v>
      </c>
      <c r="L24" s="610">
        <v>501.55910640000002</v>
      </c>
      <c r="M24" s="610">
        <v>334.37273760000005</v>
      </c>
      <c r="N24" s="467">
        <f t="shared" si="3"/>
        <v>835.93184400000007</v>
      </c>
      <c r="O24" s="685">
        <f t="shared" si="4"/>
        <v>66.725599108449046</v>
      </c>
      <c r="P24" s="685">
        <f t="shared" si="5"/>
        <v>-50.639237600000001</v>
      </c>
      <c r="Q24" s="685">
        <f t="shared" si="6"/>
        <v>16.086361508449045</v>
      </c>
      <c r="R24" s="15">
        <v>875.28</v>
      </c>
      <c r="S24" s="464">
        <f t="shared" si="7"/>
        <v>568.93200000000002</v>
      </c>
      <c r="T24" s="464">
        <f t="shared" si="8"/>
        <v>306.34799999999996</v>
      </c>
      <c r="U24" s="15">
        <v>744.26994319999994</v>
      </c>
      <c r="V24" s="480">
        <f t="shared" si="9"/>
        <v>446.56196591999992</v>
      </c>
      <c r="W24" s="480">
        <f t="shared" si="10"/>
        <v>297.70797728000002</v>
      </c>
      <c r="X24" s="464">
        <f t="shared" si="11"/>
        <v>91.661900800000126</v>
      </c>
      <c r="Z24" s="15">
        <v>415.19000000000005</v>
      </c>
      <c r="AA24" s="464">
        <f t="shared" si="12"/>
        <v>269.87350000000004</v>
      </c>
      <c r="AB24" s="464">
        <f t="shared" si="13"/>
        <v>145.31650000000002</v>
      </c>
      <c r="AC24" s="15">
        <v>752.71401119999996</v>
      </c>
      <c r="AD24" s="464">
        <f t="shared" si="14"/>
        <v>451.62840671999999</v>
      </c>
      <c r="AE24" s="464">
        <f t="shared" si="15"/>
        <v>301.08560447999997</v>
      </c>
      <c r="AG24" s="15">
        <v>831.90325679999989</v>
      </c>
      <c r="AH24" s="509">
        <f t="shared" si="16"/>
        <v>499.14195407999995</v>
      </c>
      <c r="AI24" s="509">
        <f t="shared" si="17"/>
        <v>332.76130271999995</v>
      </c>
      <c r="AJ24" s="15">
        <v>1244.8334447999998</v>
      </c>
      <c r="AK24" s="622">
        <f t="shared" si="18"/>
        <v>746.90006687999994</v>
      </c>
      <c r="AL24" s="622">
        <f t="shared" si="19"/>
        <v>497.93337791999988</v>
      </c>
      <c r="AM24" s="464">
        <f t="shared" si="20"/>
        <v>1.0221216289571398</v>
      </c>
      <c r="AN24" s="464">
        <f t="shared" si="21"/>
        <v>1.0222070378676416</v>
      </c>
      <c r="AQ24" s="464">
        <v>1.0690580922376676</v>
      </c>
      <c r="AS24" s="15">
        <v>499.14195407999989</v>
      </c>
      <c r="AT24" s="15">
        <v>332.76130272</v>
      </c>
      <c r="AU24" s="717">
        <f t="shared" si="22"/>
        <v>831.90325679999989</v>
      </c>
      <c r="AX24" s="464">
        <f t="shared" si="23"/>
        <v>835.93184400000007</v>
      </c>
    </row>
    <row r="25" spans="1:50" ht="14.25">
      <c r="A25" s="445">
        <v>12</v>
      </c>
      <c r="B25" s="385" t="s">
        <v>900</v>
      </c>
      <c r="C25" s="705">
        <v>374.64127920000004</v>
      </c>
      <c r="D25" s="705">
        <v>249.76085280000001</v>
      </c>
      <c r="E25" s="705">
        <f t="shared" si="0"/>
        <v>624.40213200000005</v>
      </c>
      <c r="F25" s="448">
        <v>30.680000000000007</v>
      </c>
      <c r="G25" s="448">
        <v>20.460000000000008</v>
      </c>
      <c r="H25" s="684">
        <f t="shared" si="1"/>
        <v>51.140000000000015</v>
      </c>
      <c r="I25" s="429">
        <v>477.5392027860064</v>
      </c>
      <c r="J25" s="429">
        <v>226.3365</v>
      </c>
      <c r="K25" s="685">
        <f t="shared" si="2"/>
        <v>703.8757027860064</v>
      </c>
      <c r="L25" s="610">
        <v>411.75297360000002</v>
      </c>
      <c r="M25" s="610">
        <v>274.50198240000009</v>
      </c>
      <c r="N25" s="467">
        <f t="shared" si="3"/>
        <v>686.25495600000011</v>
      </c>
      <c r="O25" s="685">
        <f t="shared" si="4"/>
        <v>96.466229186006387</v>
      </c>
      <c r="P25" s="685">
        <f t="shared" si="5"/>
        <v>-27.705482400000079</v>
      </c>
      <c r="Q25" s="685">
        <f t="shared" si="6"/>
        <v>68.76074678600628</v>
      </c>
      <c r="R25" s="15">
        <v>763.47</v>
      </c>
      <c r="S25" s="464">
        <f t="shared" si="7"/>
        <v>496.25550000000004</v>
      </c>
      <c r="T25" s="464">
        <f t="shared" si="8"/>
        <v>267.21449999999999</v>
      </c>
      <c r="U25" s="15">
        <v>580.60663360000001</v>
      </c>
      <c r="V25" s="480">
        <f t="shared" si="9"/>
        <v>348.36398015999998</v>
      </c>
      <c r="W25" s="480">
        <f t="shared" si="10"/>
        <v>232.24265344000003</v>
      </c>
      <c r="X25" s="464">
        <f t="shared" si="11"/>
        <v>105.6483224000001</v>
      </c>
      <c r="Z25" s="15">
        <v>348.21000000000004</v>
      </c>
      <c r="AA25" s="464">
        <f t="shared" si="12"/>
        <v>226.3365</v>
      </c>
      <c r="AB25" s="464">
        <f t="shared" si="13"/>
        <v>121.87350000000004</v>
      </c>
      <c r="AC25" s="15">
        <v>583.56479519999993</v>
      </c>
      <c r="AD25" s="464">
        <f t="shared" si="14"/>
        <v>350.13887711999996</v>
      </c>
      <c r="AE25" s="464">
        <f t="shared" si="15"/>
        <v>233.42591807999997</v>
      </c>
      <c r="AG25" s="15">
        <v>670.55869439999992</v>
      </c>
      <c r="AH25" s="509">
        <f t="shared" si="16"/>
        <v>402.33521663999994</v>
      </c>
      <c r="AI25" s="509">
        <f t="shared" si="17"/>
        <v>268.22347775999998</v>
      </c>
      <c r="AJ25" s="15">
        <v>1003.4025983999999</v>
      </c>
      <c r="AK25" s="622">
        <f t="shared" si="18"/>
        <v>602.04155903999992</v>
      </c>
      <c r="AL25" s="622">
        <f t="shared" si="19"/>
        <v>401.36103935999995</v>
      </c>
      <c r="AM25" s="464">
        <f t="shared" si="20"/>
        <v>1.0990592773952923</v>
      </c>
      <c r="AN25" s="464">
        <f t="shared" si="21"/>
        <v>1.0990592773952927</v>
      </c>
      <c r="AQ25" s="464">
        <v>1.1520276615583367</v>
      </c>
      <c r="AS25" s="15">
        <v>409.76862191999999</v>
      </c>
      <c r="AT25" s="15">
        <v>273.17908127999999</v>
      </c>
      <c r="AU25" s="717">
        <f t="shared" si="22"/>
        <v>682.94770319999998</v>
      </c>
      <c r="AX25" s="464">
        <f t="shared" si="23"/>
        <v>686.25495600000011</v>
      </c>
    </row>
    <row r="26" spans="1:50" ht="14.25">
      <c r="A26" s="445">
        <v>13</v>
      </c>
      <c r="B26" s="385" t="s">
        <v>901</v>
      </c>
      <c r="C26" s="705">
        <v>431.08785360000002</v>
      </c>
      <c r="D26" s="705">
        <v>287.39190239999999</v>
      </c>
      <c r="E26" s="705">
        <f t="shared" si="0"/>
        <v>718.47975599999995</v>
      </c>
      <c r="F26" s="448">
        <v>32.829999999999984</v>
      </c>
      <c r="G26" s="448">
        <v>21.890000000000043</v>
      </c>
      <c r="H26" s="684">
        <f t="shared" si="1"/>
        <v>54.720000000000027</v>
      </c>
      <c r="I26" s="429">
        <v>369.37404326725112</v>
      </c>
      <c r="J26" s="429">
        <v>227.34399999999997</v>
      </c>
      <c r="K26" s="685">
        <f t="shared" si="2"/>
        <v>596.71804326725112</v>
      </c>
      <c r="L26" s="610">
        <v>363.04299600000007</v>
      </c>
      <c r="M26" s="610">
        <v>242.02866399999999</v>
      </c>
      <c r="N26" s="467">
        <f t="shared" si="3"/>
        <v>605.07166000000007</v>
      </c>
      <c r="O26" s="685">
        <f t="shared" si="4"/>
        <v>39.161047267251035</v>
      </c>
      <c r="P26" s="685">
        <f t="shared" si="5"/>
        <v>7.2053360000000168</v>
      </c>
      <c r="Q26" s="685">
        <f t="shared" si="6"/>
        <v>46.366383267251081</v>
      </c>
      <c r="R26" s="15">
        <v>590.54</v>
      </c>
      <c r="S26" s="464">
        <f t="shared" si="7"/>
        <v>383.851</v>
      </c>
      <c r="T26" s="464">
        <f t="shared" si="8"/>
        <v>206.68899999999996</v>
      </c>
      <c r="U26" s="15">
        <v>738.99048159999995</v>
      </c>
      <c r="V26" s="480">
        <f t="shared" si="9"/>
        <v>443.39428895999998</v>
      </c>
      <c r="W26" s="480">
        <f t="shared" si="10"/>
        <v>295.59619263999997</v>
      </c>
      <c r="X26" s="464">
        <f t="shared" si="11"/>
        <v>-133.91882159999989</v>
      </c>
      <c r="Z26" s="15">
        <v>349.76</v>
      </c>
      <c r="AA26" s="464">
        <f t="shared" si="12"/>
        <v>227.34399999999997</v>
      </c>
      <c r="AB26" s="464">
        <f t="shared" si="13"/>
        <v>122.41600000000003</v>
      </c>
      <c r="AC26" s="15">
        <v>727.87726798400013</v>
      </c>
      <c r="AD26" s="464">
        <f t="shared" si="14"/>
        <v>436.72636079040007</v>
      </c>
      <c r="AE26" s="464">
        <f t="shared" si="15"/>
        <v>291.15090719360006</v>
      </c>
      <c r="AG26" s="15">
        <v>593.89631280000003</v>
      </c>
      <c r="AH26" s="509">
        <f t="shared" si="16"/>
        <v>356.33778768000002</v>
      </c>
      <c r="AI26" s="509">
        <f t="shared" si="17"/>
        <v>237.55852512000001</v>
      </c>
      <c r="AJ26" s="15">
        <v>888.68746079999994</v>
      </c>
      <c r="AK26" s="622">
        <f t="shared" si="18"/>
        <v>533.21247647999996</v>
      </c>
      <c r="AL26" s="622">
        <f t="shared" si="19"/>
        <v>355.47498431999998</v>
      </c>
      <c r="AM26" s="464">
        <f t="shared" si="20"/>
        <v>0.84215547473268004</v>
      </c>
      <c r="AN26" s="464">
        <f t="shared" si="21"/>
        <v>0.84215547473267982</v>
      </c>
      <c r="AQ26" s="464">
        <v>0.88274224945594704</v>
      </c>
      <c r="AS26" s="15">
        <v>361.29339119999992</v>
      </c>
      <c r="AT26" s="15">
        <v>240.8622608</v>
      </c>
      <c r="AU26" s="717">
        <f t="shared" si="22"/>
        <v>602.15565199999992</v>
      </c>
      <c r="AX26" s="464">
        <f t="shared" si="23"/>
        <v>605.07166000000007</v>
      </c>
    </row>
    <row r="27" spans="1:50" ht="14.25">
      <c r="A27" s="445">
        <v>14</v>
      </c>
      <c r="B27" s="385" t="s">
        <v>902</v>
      </c>
      <c r="C27" s="705">
        <v>617.51872400000002</v>
      </c>
      <c r="D27" s="705">
        <v>411.66501599999998</v>
      </c>
      <c r="E27" s="705">
        <f t="shared" si="0"/>
        <v>1029.1837399999999</v>
      </c>
      <c r="F27" s="448">
        <v>13.230000000000018</v>
      </c>
      <c r="G27" s="448">
        <v>8.8299999999999841</v>
      </c>
      <c r="H27" s="684">
        <f t="shared" si="1"/>
        <v>22.060000000000002</v>
      </c>
      <c r="I27" s="429">
        <v>751.10141967794425</v>
      </c>
      <c r="J27" s="429">
        <v>326.23500000000001</v>
      </c>
      <c r="K27" s="685">
        <f t="shared" si="2"/>
        <v>1077.3364196779444</v>
      </c>
      <c r="L27" s="610">
        <v>636.71889600000009</v>
      </c>
      <c r="M27" s="610">
        <v>424.47926400000006</v>
      </c>
      <c r="N27" s="467">
        <f t="shared" si="3"/>
        <v>1061.1981600000001</v>
      </c>
      <c r="O27" s="685">
        <f t="shared" si="4"/>
        <v>127.61252367794418</v>
      </c>
      <c r="P27" s="685">
        <f t="shared" si="5"/>
        <v>-89.41426400000006</v>
      </c>
      <c r="Q27" s="685">
        <f t="shared" si="6"/>
        <v>38.198259677944179</v>
      </c>
      <c r="R27" s="15">
        <v>1200.83</v>
      </c>
      <c r="S27" s="464">
        <f t="shared" si="7"/>
        <v>780.53949999999998</v>
      </c>
      <c r="T27" s="464">
        <f t="shared" si="8"/>
        <v>420.29049999999995</v>
      </c>
      <c r="U27" s="15">
        <v>960.31586000000004</v>
      </c>
      <c r="V27" s="480">
        <f t="shared" si="9"/>
        <v>576.18951600000003</v>
      </c>
      <c r="W27" s="480">
        <f t="shared" si="10"/>
        <v>384.12634400000002</v>
      </c>
      <c r="X27" s="464">
        <f t="shared" si="11"/>
        <v>100.8823000000001</v>
      </c>
      <c r="Z27" s="15">
        <v>501.90000000000003</v>
      </c>
      <c r="AA27" s="464">
        <f t="shared" si="12"/>
        <v>326.23500000000001</v>
      </c>
      <c r="AB27" s="464">
        <f t="shared" si="13"/>
        <v>175.66500000000002</v>
      </c>
      <c r="AC27" s="15">
        <v>960.12618943599989</v>
      </c>
      <c r="AD27" s="464">
        <f t="shared" si="14"/>
        <v>576.07571366159993</v>
      </c>
      <c r="AE27" s="464">
        <f t="shared" si="15"/>
        <v>384.05047577439996</v>
      </c>
      <c r="AG27" s="15">
        <v>1056.083952</v>
      </c>
      <c r="AH27" s="509">
        <f t="shared" si="16"/>
        <v>633.65037119999988</v>
      </c>
      <c r="AI27" s="509">
        <f t="shared" si="17"/>
        <v>422.43358080000007</v>
      </c>
      <c r="AJ27" s="15">
        <v>1580.290272</v>
      </c>
      <c r="AK27" s="622">
        <f t="shared" si="18"/>
        <v>948.17416320000007</v>
      </c>
      <c r="AL27" s="622">
        <f t="shared" si="19"/>
        <v>632.11610879999989</v>
      </c>
      <c r="AM27" s="464">
        <f t="shared" si="20"/>
        <v>1.0310924531577443</v>
      </c>
      <c r="AN27" s="464">
        <f t="shared" si="21"/>
        <v>1.0311278527490908</v>
      </c>
      <c r="AQ27" s="464">
        <v>1.079819803689396</v>
      </c>
      <c r="AS27" s="15">
        <v>633.6503712</v>
      </c>
      <c r="AT27" s="15">
        <v>422.43358079999996</v>
      </c>
      <c r="AU27" s="717">
        <f t="shared" si="22"/>
        <v>1056.083952</v>
      </c>
      <c r="AX27" s="464">
        <f t="shared" si="23"/>
        <v>1061.1981600000001</v>
      </c>
    </row>
    <row r="28" spans="1:50" s="447" customFormat="1" ht="14.25">
      <c r="A28" s="445">
        <v>15</v>
      </c>
      <c r="B28" s="385" t="s">
        <v>903</v>
      </c>
      <c r="C28" s="705">
        <v>393.58536800000002</v>
      </c>
      <c r="D28" s="705">
        <v>262.386912</v>
      </c>
      <c r="E28" s="705">
        <f t="shared" si="0"/>
        <v>655.97227999999996</v>
      </c>
      <c r="F28" s="448">
        <v>20.389999999999986</v>
      </c>
      <c r="G28" s="448">
        <v>13.589999999999975</v>
      </c>
      <c r="H28" s="684">
        <f t="shared" si="1"/>
        <v>33.979999999999961</v>
      </c>
      <c r="I28" s="429">
        <v>492.58212238599526</v>
      </c>
      <c r="J28" s="429">
        <v>232.947</v>
      </c>
      <c r="K28" s="685">
        <f t="shared" si="2"/>
        <v>725.52912238599527</v>
      </c>
      <c r="L28" s="610">
        <v>386.58923280000005</v>
      </c>
      <c r="M28" s="610">
        <v>257.72615520000005</v>
      </c>
      <c r="N28" s="467">
        <f t="shared" si="3"/>
        <v>644.3153880000001</v>
      </c>
      <c r="O28" s="685">
        <f t="shared" si="4"/>
        <v>126.3828895859952</v>
      </c>
      <c r="P28" s="685">
        <f t="shared" si="5"/>
        <v>-11.189155200000073</v>
      </c>
      <c r="Q28" s="685">
        <f t="shared" si="6"/>
        <v>115.19373438599507</v>
      </c>
      <c r="R28" s="447">
        <v>787.52</v>
      </c>
      <c r="S28" s="464">
        <f t="shared" si="7"/>
        <v>511.88799999999998</v>
      </c>
      <c r="T28" s="464">
        <f t="shared" si="8"/>
        <v>275.63200000000001</v>
      </c>
      <c r="U28" s="447">
        <v>628.67752080000002</v>
      </c>
      <c r="V28" s="480">
        <f t="shared" si="9"/>
        <v>377.20651248000001</v>
      </c>
      <c r="W28" s="480">
        <f t="shared" si="10"/>
        <v>251.47100832000001</v>
      </c>
      <c r="X28" s="464">
        <f t="shared" si="11"/>
        <v>15.637867200000073</v>
      </c>
      <c r="Y28" s="480"/>
      <c r="Z28" s="447">
        <v>358.38</v>
      </c>
      <c r="AA28" s="464">
        <f t="shared" si="12"/>
        <v>232.947</v>
      </c>
      <c r="AB28" s="464">
        <f t="shared" si="13"/>
        <v>125.43299999999999</v>
      </c>
      <c r="AC28" s="447">
        <v>624.74558141199998</v>
      </c>
      <c r="AD28" s="464">
        <f t="shared" si="14"/>
        <v>374.84734884719995</v>
      </c>
      <c r="AE28" s="464">
        <f t="shared" si="15"/>
        <v>249.89823256480003</v>
      </c>
      <c r="AG28" s="447">
        <v>558.60727999999995</v>
      </c>
      <c r="AH28" s="509">
        <f t="shared" si="16"/>
        <v>335.16436799999997</v>
      </c>
      <c r="AI28" s="509">
        <f t="shared" si="17"/>
        <v>223.44291199999998</v>
      </c>
      <c r="AJ28" s="447">
        <v>835.88207999999997</v>
      </c>
      <c r="AK28" s="622">
        <f t="shared" si="18"/>
        <v>501.529248</v>
      </c>
      <c r="AL28" s="622">
        <f t="shared" si="19"/>
        <v>334.35283199999998</v>
      </c>
      <c r="AM28" s="464">
        <f t="shared" si="20"/>
        <v>0.98222460546348367</v>
      </c>
      <c r="AN28" s="464">
        <f t="shared" si="21"/>
        <v>0.98223708353258132</v>
      </c>
      <c r="AO28" s="717"/>
      <c r="AP28" s="717"/>
      <c r="AQ28" s="464">
        <v>1.0292160096732621</v>
      </c>
      <c r="AS28" s="447">
        <v>384.72615215999997</v>
      </c>
      <c r="AT28" s="447">
        <v>256.48410144000002</v>
      </c>
      <c r="AU28" s="717">
        <f t="shared" si="22"/>
        <v>641.21025359999999</v>
      </c>
      <c r="AV28" s="717"/>
      <c r="AW28" s="717"/>
      <c r="AX28" s="464">
        <f t="shared" si="23"/>
        <v>644.3153880000001</v>
      </c>
    </row>
    <row r="29" spans="1:50" s="447" customFormat="1" ht="14.25">
      <c r="A29" s="445">
        <v>16</v>
      </c>
      <c r="B29" s="385" t="s">
        <v>904</v>
      </c>
      <c r="C29" s="705">
        <v>370.18291840000001</v>
      </c>
      <c r="D29" s="705">
        <v>246.76954559999999</v>
      </c>
      <c r="E29" s="705">
        <f t="shared" si="0"/>
        <v>616.95246399999996</v>
      </c>
      <c r="F29" s="448">
        <v>21.399999999999977</v>
      </c>
      <c r="G29" s="448">
        <v>14.27000000000001</v>
      </c>
      <c r="H29" s="684">
        <f t="shared" si="1"/>
        <v>35.669999999999987</v>
      </c>
      <c r="I29" s="429">
        <v>388.09481597526218</v>
      </c>
      <c r="J29" s="429">
        <v>225.83599999999998</v>
      </c>
      <c r="K29" s="685">
        <f t="shared" si="2"/>
        <v>613.93081597526213</v>
      </c>
      <c r="L29" s="610">
        <v>372.8231184</v>
      </c>
      <c r="M29" s="610">
        <v>248.54874560000007</v>
      </c>
      <c r="N29" s="467">
        <f t="shared" si="3"/>
        <v>621.37186400000007</v>
      </c>
      <c r="O29" s="685">
        <f t="shared" si="4"/>
        <v>36.671697575262158</v>
      </c>
      <c r="P29" s="685">
        <f t="shared" si="5"/>
        <v>-8.4427456000000802</v>
      </c>
      <c r="Q29" s="685">
        <f t="shared" si="6"/>
        <v>28.228951975262021</v>
      </c>
      <c r="R29" s="447">
        <v>620.47</v>
      </c>
      <c r="S29" s="464">
        <f t="shared" si="7"/>
        <v>403.30550000000005</v>
      </c>
      <c r="T29" s="464">
        <f t="shared" si="8"/>
        <v>217.16449999999998</v>
      </c>
      <c r="U29" s="447">
        <v>529.26842079999994</v>
      </c>
      <c r="V29" s="480">
        <f t="shared" si="9"/>
        <v>317.56105247999994</v>
      </c>
      <c r="W29" s="480">
        <f t="shared" si="10"/>
        <v>211.70736832</v>
      </c>
      <c r="X29" s="464">
        <f t="shared" si="11"/>
        <v>92.103443200000129</v>
      </c>
      <c r="Y29" s="480"/>
      <c r="Z29" s="447">
        <v>347.44</v>
      </c>
      <c r="AA29" s="464">
        <f t="shared" si="12"/>
        <v>225.83599999999998</v>
      </c>
      <c r="AB29" s="464">
        <f t="shared" si="13"/>
        <v>121.60400000000001</v>
      </c>
      <c r="AC29" s="447">
        <v>530.92414960399992</v>
      </c>
      <c r="AD29" s="464">
        <f t="shared" si="14"/>
        <v>318.55448976239995</v>
      </c>
      <c r="AE29" s="464">
        <f t="shared" si="15"/>
        <v>212.36965984159997</v>
      </c>
      <c r="AG29" s="447">
        <v>729.47595279999996</v>
      </c>
      <c r="AH29" s="509">
        <f t="shared" si="16"/>
        <v>437.68557168000001</v>
      </c>
      <c r="AI29" s="509">
        <f t="shared" si="17"/>
        <v>291.79038111999995</v>
      </c>
      <c r="AJ29" s="447">
        <v>1019.8765008</v>
      </c>
      <c r="AK29" s="622">
        <f t="shared" si="18"/>
        <v>611.92590048</v>
      </c>
      <c r="AL29" s="622">
        <f t="shared" si="19"/>
        <v>407.95060032000004</v>
      </c>
      <c r="AM29" s="464">
        <f t="shared" si="20"/>
        <v>1.0071321497259016</v>
      </c>
      <c r="AN29" s="464">
        <f t="shared" si="21"/>
        <v>1.0072099658637945</v>
      </c>
      <c r="AO29" s="717"/>
      <c r="AP29" s="717"/>
      <c r="AQ29" s="464">
        <v>1.0535551442525282</v>
      </c>
      <c r="AS29" s="447">
        <v>371.02638047999994</v>
      </c>
      <c r="AT29" s="447">
        <v>247.35092032</v>
      </c>
      <c r="AU29" s="717">
        <f t="shared" si="22"/>
        <v>618.37730079999994</v>
      </c>
      <c r="AV29" s="717"/>
      <c r="AW29" s="717"/>
      <c r="AX29" s="464">
        <f t="shared" si="23"/>
        <v>621.37186400000007</v>
      </c>
    </row>
    <row r="30" spans="1:50" s="447" customFormat="1" ht="14.25">
      <c r="A30" s="445">
        <v>17</v>
      </c>
      <c r="B30" s="385" t="s">
        <v>905</v>
      </c>
      <c r="C30" s="705">
        <v>960.84304159999999</v>
      </c>
      <c r="D30" s="705">
        <v>640.51789439999993</v>
      </c>
      <c r="E30" s="705">
        <f t="shared" si="0"/>
        <v>1601.360936</v>
      </c>
      <c r="F30" s="448">
        <v>40.480000000000018</v>
      </c>
      <c r="G30" s="448">
        <v>27</v>
      </c>
      <c r="H30" s="684">
        <f t="shared" si="1"/>
        <v>67.480000000000018</v>
      </c>
      <c r="I30" s="429">
        <v>1232.68751185322</v>
      </c>
      <c r="J30" s="429">
        <v>374.35449999999997</v>
      </c>
      <c r="K30" s="685">
        <f t="shared" si="2"/>
        <v>1607.0420118532199</v>
      </c>
      <c r="L30" s="610">
        <v>862.07186400000001</v>
      </c>
      <c r="M30" s="610">
        <v>574.71457600000008</v>
      </c>
      <c r="N30" s="467">
        <f t="shared" si="3"/>
        <v>1436.7864400000001</v>
      </c>
      <c r="O30" s="685">
        <f t="shared" si="4"/>
        <v>411.09564785322004</v>
      </c>
      <c r="P30" s="685">
        <f t="shared" si="5"/>
        <v>-173.36007600000011</v>
      </c>
      <c r="Q30" s="685">
        <f t="shared" si="6"/>
        <v>237.73557185321988</v>
      </c>
      <c r="R30" s="447">
        <v>1970.77</v>
      </c>
      <c r="S30" s="464">
        <f t="shared" si="7"/>
        <v>1281.0005000000001</v>
      </c>
      <c r="T30" s="464">
        <f t="shared" si="8"/>
        <v>689.76949999999988</v>
      </c>
      <c r="U30" s="447">
        <v>1459.0477215999999</v>
      </c>
      <c r="V30" s="480">
        <f t="shared" si="9"/>
        <v>875.42863295999996</v>
      </c>
      <c r="W30" s="480">
        <f t="shared" si="10"/>
        <v>583.61908863999997</v>
      </c>
      <c r="X30" s="464">
        <f t="shared" si="11"/>
        <v>-22.261281599999847</v>
      </c>
      <c r="Y30" s="480"/>
      <c r="Z30" s="447">
        <v>575.92999999999995</v>
      </c>
      <c r="AA30" s="464">
        <f t="shared" si="12"/>
        <v>374.35449999999997</v>
      </c>
      <c r="AB30" s="464">
        <f t="shared" si="13"/>
        <v>201.57549999999998</v>
      </c>
      <c r="AC30" s="447">
        <v>1417.7593933239996</v>
      </c>
      <c r="AD30" s="464">
        <f t="shared" si="14"/>
        <v>850.65563599439974</v>
      </c>
      <c r="AE30" s="464">
        <f t="shared" si="15"/>
        <v>567.10375732959983</v>
      </c>
      <c r="AG30" s="447">
        <v>1429.8621679999999</v>
      </c>
      <c r="AH30" s="509">
        <f t="shared" si="16"/>
        <v>857.91730079999991</v>
      </c>
      <c r="AI30" s="509">
        <f t="shared" si="17"/>
        <v>571.94486719999998</v>
      </c>
      <c r="AJ30" s="447">
        <v>2139.6000479999998</v>
      </c>
      <c r="AK30" s="622">
        <f t="shared" si="18"/>
        <v>1283.7600287999999</v>
      </c>
      <c r="AL30" s="622">
        <f t="shared" si="19"/>
        <v>855.84001919999992</v>
      </c>
      <c r="AM30" s="464">
        <f t="shared" si="20"/>
        <v>0.89720362918429863</v>
      </c>
      <c r="AN30" s="464">
        <f t="shared" si="21"/>
        <v>0.89726544882615555</v>
      </c>
      <c r="AO30" s="717"/>
      <c r="AP30" s="717"/>
      <c r="AQ30" s="464">
        <v>0.93876071533468031</v>
      </c>
      <c r="AS30" s="447">
        <v>857.91730079999991</v>
      </c>
      <c r="AT30" s="447">
        <v>571.94486719999998</v>
      </c>
      <c r="AU30" s="717">
        <f t="shared" si="22"/>
        <v>1429.8621679999999</v>
      </c>
      <c r="AV30" s="717"/>
      <c r="AW30" s="717"/>
      <c r="AX30" s="464">
        <f t="shared" si="23"/>
        <v>1436.7864400000001</v>
      </c>
    </row>
    <row r="31" spans="1:50" s="447" customFormat="1" ht="14.25">
      <c r="A31" s="445">
        <v>18</v>
      </c>
      <c r="B31" s="385" t="s">
        <v>906</v>
      </c>
      <c r="C31" s="705">
        <v>373.67262400000004</v>
      </c>
      <c r="D31" s="705">
        <v>249.02481600000004</v>
      </c>
      <c r="E31" s="705">
        <f t="shared" si="0"/>
        <v>622.69744000000014</v>
      </c>
      <c r="F31" s="448">
        <v>71.150000000000034</v>
      </c>
      <c r="G31" s="448">
        <v>47.44</v>
      </c>
      <c r="H31" s="684">
        <f t="shared" si="1"/>
        <v>118.59000000000003</v>
      </c>
      <c r="I31" s="429">
        <v>439.7411307931863</v>
      </c>
      <c r="J31" s="429">
        <v>250.45800000000003</v>
      </c>
      <c r="K31" s="685">
        <f t="shared" si="2"/>
        <v>690.19913079318633</v>
      </c>
      <c r="L31" s="610">
        <v>340.17264480000006</v>
      </c>
      <c r="M31" s="610">
        <v>226.7817632</v>
      </c>
      <c r="N31" s="467">
        <f t="shared" si="3"/>
        <v>566.95440800000006</v>
      </c>
      <c r="O31" s="685">
        <f t="shared" si="4"/>
        <v>170.71848599318628</v>
      </c>
      <c r="P31" s="685">
        <f t="shared" si="5"/>
        <v>71.116236800000024</v>
      </c>
      <c r="Q31" s="685">
        <f t="shared" si="6"/>
        <v>241.8347227931863</v>
      </c>
      <c r="R31" s="447">
        <v>703.04</v>
      </c>
      <c r="S31" s="464">
        <f t="shared" si="7"/>
        <v>456.976</v>
      </c>
      <c r="T31" s="464">
        <f t="shared" si="8"/>
        <v>246.06399999999996</v>
      </c>
      <c r="U31" s="447">
        <v>487.75134799999995</v>
      </c>
      <c r="V31" s="480">
        <f t="shared" si="9"/>
        <v>292.65080879999999</v>
      </c>
      <c r="W31" s="480">
        <f t="shared" si="10"/>
        <v>195.10053919999996</v>
      </c>
      <c r="X31" s="464">
        <f t="shared" si="11"/>
        <v>79.203060000000107</v>
      </c>
      <c r="Y31" s="480"/>
      <c r="Z31" s="447">
        <v>385.32000000000005</v>
      </c>
      <c r="AA31" s="464">
        <f t="shared" si="12"/>
        <v>250.45800000000003</v>
      </c>
      <c r="AB31" s="464">
        <f t="shared" si="13"/>
        <v>134.86200000000002</v>
      </c>
      <c r="AC31" s="447">
        <v>475.66169115999992</v>
      </c>
      <c r="AD31" s="464">
        <f t="shared" si="14"/>
        <v>285.39701469599999</v>
      </c>
      <c r="AE31" s="464">
        <f t="shared" si="15"/>
        <v>190.26467646399993</v>
      </c>
      <c r="AG31" s="447">
        <v>564.22209759999998</v>
      </c>
      <c r="AH31" s="509">
        <f t="shared" si="16"/>
        <v>338.53325855999998</v>
      </c>
      <c r="AI31" s="509">
        <f t="shared" si="17"/>
        <v>225.68883904</v>
      </c>
      <c r="AJ31" s="447">
        <v>844.28391360000001</v>
      </c>
      <c r="AK31" s="622">
        <f t="shared" si="18"/>
        <v>506.57034815999998</v>
      </c>
      <c r="AL31" s="622">
        <f t="shared" si="19"/>
        <v>337.71356544000002</v>
      </c>
      <c r="AM31" s="464">
        <f t="shared" si="20"/>
        <v>0.91034938861349401</v>
      </c>
      <c r="AN31" s="464">
        <f t="shared" si="21"/>
        <v>0.91067937261320964</v>
      </c>
      <c r="AO31" s="717"/>
      <c r="AP31" s="717"/>
      <c r="AQ31" s="464">
        <v>0.94531575218103714</v>
      </c>
      <c r="AS31" s="447">
        <v>338.53325855999998</v>
      </c>
      <c r="AT31" s="447">
        <v>225.68883904</v>
      </c>
      <c r="AU31" s="717">
        <f t="shared" si="22"/>
        <v>564.22209759999998</v>
      </c>
      <c r="AV31" s="717"/>
      <c r="AW31" s="717"/>
      <c r="AX31" s="464">
        <f t="shared" si="23"/>
        <v>566.95440800000006</v>
      </c>
    </row>
    <row r="32" spans="1:50" s="447" customFormat="1" ht="14.25">
      <c r="A32" s="445">
        <v>19</v>
      </c>
      <c r="B32" s="385" t="s">
        <v>907</v>
      </c>
      <c r="C32" s="705">
        <v>606.51910799999996</v>
      </c>
      <c r="D32" s="705">
        <v>404.34607200000005</v>
      </c>
      <c r="E32" s="705">
        <f t="shared" si="0"/>
        <v>1010.86518</v>
      </c>
      <c r="F32" s="448">
        <v>30.819999999999936</v>
      </c>
      <c r="G32" s="448">
        <v>20.550000000000011</v>
      </c>
      <c r="H32" s="684">
        <f t="shared" si="1"/>
        <v>51.369999999999948</v>
      </c>
      <c r="I32" s="429">
        <v>611.61821507097932</v>
      </c>
      <c r="J32" s="429">
        <v>277.13400000000001</v>
      </c>
      <c r="K32" s="685">
        <f t="shared" si="2"/>
        <v>888.75221507097933</v>
      </c>
      <c r="L32" s="610">
        <v>521.24644080000007</v>
      </c>
      <c r="M32" s="610">
        <v>347.49762720000001</v>
      </c>
      <c r="N32" s="467">
        <f t="shared" si="3"/>
        <v>868.74406800000008</v>
      </c>
      <c r="O32" s="685">
        <f t="shared" si="4"/>
        <v>121.19177427097918</v>
      </c>
      <c r="P32" s="685">
        <f t="shared" si="5"/>
        <v>-49.813627199999985</v>
      </c>
      <c r="Q32" s="685">
        <f t="shared" si="6"/>
        <v>71.378147070979253</v>
      </c>
      <c r="R32" s="447">
        <v>977.82999999999993</v>
      </c>
      <c r="S32" s="464">
        <f t="shared" si="7"/>
        <v>635.58949999999993</v>
      </c>
      <c r="T32" s="464">
        <f t="shared" si="8"/>
        <v>342.2405</v>
      </c>
      <c r="U32" s="447">
        <v>970.20407120000004</v>
      </c>
      <c r="V32" s="480">
        <f t="shared" si="9"/>
        <v>582.12244271999998</v>
      </c>
      <c r="W32" s="480">
        <f t="shared" si="10"/>
        <v>388.08162848000006</v>
      </c>
      <c r="X32" s="464">
        <f t="shared" si="11"/>
        <v>-101.46000319999996</v>
      </c>
      <c r="Y32" s="480"/>
      <c r="Z32" s="447">
        <v>426.36</v>
      </c>
      <c r="AA32" s="464">
        <f t="shared" si="12"/>
        <v>277.13400000000001</v>
      </c>
      <c r="AB32" s="464">
        <f t="shared" si="13"/>
        <v>149.226</v>
      </c>
      <c r="AC32" s="447">
        <v>958.78004359199986</v>
      </c>
      <c r="AD32" s="464">
        <f t="shared" si="14"/>
        <v>575.26802615519989</v>
      </c>
      <c r="AE32" s="464">
        <f t="shared" si="15"/>
        <v>383.51201743679997</v>
      </c>
      <c r="AG32" s="447">
        <v>864.55734959999995</v>
      </c>
      <c r="AH32" s="509">
        <f t="shared" si="16"/>
        <v>518.73440975999995</v>
      </c>
      <c r="AI32" s="509">
        <f t="shared" si="17"/>
        <v>345.82293984</v>
      </c>
      <c r="AJ32" s="447">
        <v>1293.6959855999999</v>
      </c>
      <c r="AK32" s="622">
        <f t="shared" si="18"/>
        <v>776.21759135999991</v>
      </c>
      <c r="AL32" s="622">
        <f t="shared" si="19"/>
        <v>517.47839423999994</v>
      </c>
      <c r="AM32" s="464">
        <f t="shared" si="20"/>
        <v>0.85940646209616223</v>
      </c>
      <c r="AN32" s="464">
        <f t="shared" si="21"/>
        <v>0.85940646209616189</v>
      </c>
      <c r="AO32" s="717"/>
      <c r="AP32" s="717"/>
      <c r="AQ32" s="464">
        <v>0.90082364099236256</v>
      </c>
      <c r="AS32" s="447">
        <v>518.73440975999995</v>
      </c>
      <c r="AT32" s="447">
        <v>345.82293984</v>
      </c>
      <c r="AU32" s="717">
        <f t="shared" si="22"/>
        <v>864.55734959999995</v>
      </c>
      <c r="AV32" s="717"/>
      <c r="AW32" s="717"/>
      <c r="AX32" s="464">
        <f t="shared" si="23"/>
        <v>868.74406800000008</v>
      </c>
    </row>
    <row r="33" spans="1:50" s="447" customFormat="1" ht="14.25">
      <c r="A33" s="445">
        <v>20</v>
      </c>
      <c r="B33" s="385" t="s">
        <v>908</v>
      </c>
      <c r="C33" s="705">
        <v>466.11718559999997</v>
      </c>
      <c r="D33" s="705">
        <v>310.7447904</v>
      </c>
      <c r="E33" s="705">
        <f t="shared" si="0"/>
        <v>776.86197599999991</v>
      </c>
      <c r="F33" s="448">
        <v>63.889999999999986</v>
      </c>
      <c r="G33" s="448">
        <v>42.600000000000023</v>
      </c>
      <c r="H33" s="684">
        <f t="shared" si="1"/>
        <v>106.49000000000001</v>
      </c>
      <c r="I33" s="429">
        <v>551.46530122769775</v>
      </c>
      <c r="J33" s="429">
        <v>252.79799999999994</v>
      </c>
      <c r="K33" s="685">
        <f t="shared" si="2"/>
        <v>804.26330122769764</v>
      </c>
      <c r="L33" s="610">
        <v>437.09579520000005</v>
      </c>
      <c r="M33" s="610">
        <v>291.39719680000002</v>
      </c>
      <c r="N33" s="467">
        <f t="shared" si="3"/>
        <v>728.49299200000007</v>
      </c>
      <c r="O33" s="685">
        <f t="shared" si="4"/>
        <v>178.25950602769768</v>
      </c>
      <c r="P33" s="685">
        <f t="shared" si="5"/>
        <v>4.0008031999999503</v>
      </c>
      <c r="Q33" s="685">
        <f t="shared" si="6"/>
        <v>182.26030922769758</v>
      </c>
      <c r="R33" s="447">
        <v>881.66</v>
      </c>
      <c r="S33" s="464">
        <f t="shared" si="7"/>
        <v>573.07900000000006</v>
      </c>
      <c r="T33" s="464">
        <f t="shared" si="8"/>
        <v>308.5809999999999</v>
      </c>
      <c r="U33" s="447">
        <v>727.75126480000006</v>
      </c>
      <c r="V33" s="480">
        <f t="shared" si="9"/>
        <v>436.65075888000007</v>
      </c>
      <c r="W33" s="480">
        <f t="shared" si="10"/>
        <v>291.10050591999999</v>
      </c>
      <c r="X33" s="464">
        <f t="shared" si="11"/>
        <v>0.74172720000001391</v>
      </c>
      <c r="Y33" s="480"/>
      <c r="Z33" s="447">
        <v>388.91999999999996</v>
      </c>
      <c r="AA33" s="464">
        <f t="shared" si="12"/>
        <v>252.79799999999994</v>
      </c>
      <c r="AB33" s="464">
        <f t="shared" si="13"/>
        <v>136.12200000000001</v>
      </c>
      <c r="AC33" s="447">
        <v>719.35637622800004</v>
      </c>
      <c r="AD33" s="464">
        <f t="shared" si="14"/>
        <v>431.61382573680004</v>
      </c>
      <c r="AE33" s="464">
        <f t="shared" si="15"/>
        <v>287.74255049120001</v>
      </c>
      <c r="AG33" s="447">
        <v>720.8525128</v>
      </c>
      <c r="AH33" s="509">
        <f t="shared" si="16"/>
        <v>432.51150768000002</v>
      </c>
      <c r="AI33" s="509">
        <f t="shared" si="17"/>
        <v>288.34100511999998</v>
      </c>
      <c r="AJ33" s="447">
        <v>1078.6606608</v>
      </c>
      <c r="AK33" s="622">
        <f t="shared" si="18"/>
        <v>647.19639647999998</v>
      </c>
      <c r="AL33" s="622">
        <f t="shared" si="19"/>
        <v>431.46426431999998</v>
      </c>
      <c r="AM33" s="464">
        <f t="shared" si="20"/>
        <v>0.93773799530124013</v>
      </c>
      <c r="AN33" s="464">
        <f t="shared" si="21"/>
        <v>0.93773799530124002</v>
      </c>
      <c r="AO33" s="717"/>
      <c r="AP33" s="717"/>
      <c r="AQ33" s="464">
        <v>0.98293063580189954</v>
      </c>
      <c r="AS33" s="447">
        <v>434.98930943999994</v>
      </c>
      <c r="AT33" s="447">
        <v>289.99287296</v>
      </c>
      <c r="AU33" s="717">
        <f t="shared" si="22"/>
        <v>724.98218239999994</v>
      </c>
      <c r="AV33" s="717"/>
      <c r="AW33" s="717"/>
      <c r="AX33" s="464">
        <f t="shared" si="23"/>
        <v>728.49299200000007</v>
      </c>
    </row>
    <row r="34" spans="1:50" s="447" customFormat="1" ht="14.25">
      <c r="A34" s="445">
        <v>21</v>
      </c>
      <c r="B34" s="385" t="s">
        <v>909</v>
      </c>
      <c r="C34" s="705">
        <v>290.66476799999998</v>
      </c>
      <c r="D34" s="705">
        <v>193.75891199999998</v>
      </c>
      <c r="E34" s="705">
        <f t="shared" si="0"/>
        <v>484.42367999999999</v>
      </c>
      <c r="F34" s="448">
        <v>53.21999999999997</v>
      </c>
      <c r="G34" s="448">
        <v>35.489999999999981</v>
      </c>
      <c r="H34" s="684">
        <f t="shared" si="1"/>
        <v>88.709999999999951</v>
      </c>
      <c r="I34" s="429">
        <v>530.95564078347195</v>
      </c>
      <c r="J34" s="429">
        <v>236.15799999999999</v>
      </c>
      <c r="K34" s="685">
        <f t="shared" si="2"/>
        <v>767.11364078347196</v>
      </c>
      <c r="L34" s="610">
        <v>293.09172480000001</v>
      </c>
      <c r="M34" s="610">
        <v>195.39448320000002</v>
      </c>
      <c r="N34" s="467">
        <f t="shared" si="3"/>
        <v>488.48620800000003</v>
      </c>
      <c r="O34" s="685">
        <f t="shared" si="4"/>
        <v>291.08391598347185</v>
      </c>
      <c r="P34" s="685">
        <f t="shared" si="5"/>
        <v>76.253516799999943</v>
      </c>
      <c r="Q34" s="685">
        <f t="shared" si="6"/>
        <v>367.33743278347185</v>
      </c>
      <c r="R34" s="447">
        <v>848.87000000000012</v>
      </c>
      <c r="S34" s="464">
        <f t="shared" si="7"/>
        <v>551.76550000000009</v>
      </c>
      <c r="T34" s="464">
        <f t="shared" si="8"/>
        <v>297.10450000000003</v>
      </c>
      <c r="U34" s="447">
        <v>444.61498479999995</v>
      </c>
      <c r="V34" s="480">
        <f t="shared" si="9"/>
        <v>266.76899087999999</v>
      </c>
      <c r="W34" s="480">
        <f t="shared" si="10"/>
        <v>177.84599391999996</v>
      </c>
      <c r="X34" s="464">
        <f t="shared" si="11"/>
        <v>43.871223200000088</v>
      </c>
      <c r="Y34" s="480"/>
      <c r="Z34" s="447">
        <v>363.32</v>
      </c>
      <c r="AA34" s="464">
        <f t="shared" si="12"/>
        <v>236.15799999999999</v>
      </c>
      <c r="AB34" s="464">
        <f t="shared" si="13"/>
        <v>127.16200000000001</v>
      </c>
      <c r="AC34" s="447">
        <v>459.61365929199997</v>
      </c>
      <c r="AD34" s="464">
        <f t="shared" si="14"/>
        <v>275.76819557519997</v>
      </c>
      <c r="AE34" s="464">
        <f t="shared" si="15"/>
        <v>183.8454637168</v>
      </c>
      <c r="AG34" s="447">
        <v>477.87271839999994</v>
      </c>
      <c r="AH34" s="509">
        <f t="shared" si="16"/>
        <v>286.72363103999999</v>
      </c>
      <c r="AI34" s="509">
        <f t="shared" si="17"/>
        <v>191.14908735999995</v>
      </c>
      <c r="AJ34" s="447">
        <v>715.07346239999993</v>
      </c>
      <c r="AK34" s="622">
        <f t="shared" si="18"/>
        <v>429.04407743999997</v>
      </c>
      <c r="AL34" s="622">
        <f t="shared" si="19"/>
        <v>286.02938495999996</v>
      </c>
      <c r="AM34" s="464">
        <f t="shared" si="20"/>
        <v>1.0083496765593551</v>
      </c>
      <c r="AN34" s="464">
        <f t="shared" si="21"/>
        <v>1.0084412695298375</v>
      </c>
      <c r="AO34" s="717"/>
      <c r="AP34" s="717"/>
      <c r="AQ34" s="464">
        <v>1.0544561976837519</v>
      </c>
      <c r="AS34" s="447">
        <v>291.67923456</v>
      </c>
      <c r="AT34" s="447">
        <v>194.45282304</v>
      </c>
      <c r="AU34" s="717">
        <f t="shared" si="22"/>
        <v>486.1320576</v>
      </c>
      <c r="AV34" s="717"/>
      <c r="AW34" s="717"/>
      <c r="AX34" s="464">
        <f t="shared" si="23"/>
        <v>488.48620800000003</v>
      </c>
    </row>
    <row r="35" spans="1:50" s="447" customFormat="1" ht="14.25">
      <c r="A35" s="445">
        <v>22</v>
      </c>
      <c r="B35" s="385" t="s">
        <v>910</v>
      </c>
      <c r="C35" s="705">
        <v>960.32966720000002</v>
      </c>
      <c r="D35" s="705">
        <v>640.16964480000001</v>
      </c>
      <c r="E35" s="705">
        <f t="shared" si="0"/>
        <v>1600.4993119999999</v>
      </c>
      <c r="F35" s="448">
        <v>2.0900000000000318</v>
      </c>
      <c r="G35" s="448">
        <v>1.3999999999999773</v>
      </c>
      <c r="H35" s="684">
        <f t="shared" si="1"/>
        <v>3.4900000000000091</v>
      </c>
      <c r="I35" s="429">
        <v>735.00768490423479</v>
      </c>
      <c r="J35" s="429">
        <v>322.51050000000004</v>
      </c>
      <c r="K35" s="685">
        <f t="shared" si="2"/>
        <v>1057.5181849042349</v>
      </c>
      <c r="L35" s="610">
        <v>834.56274240000016</v>
      </c>
      <c r="M35" s="610">
        <v>556.37516159999996</v>
      </c>
      <c r="N35" s="467">
        <f t="shared" si="3"/>
        <v>1390.9379040000001</v>
      </c>
      <c r="O35" s="685">
        <f t="shared" si="4"/>
        <v>-97.465057495765336</v>
      </c>
      <c r="P35" s="685">
        <f t="shared" si="5"/>
        <v>-232.46466159999994</v>
      </c>
      <c r="Q35" s="685">
        <f t="shared" si="6"/>
        <v>-329.92971909576522</v>
      </c>
      <c r="R35" s="447">
        <v>1175.0999999999999</v>
      </c>
      <c r="S35" s="464">
        <f t="shared" si="7"/>
        <v>763.81500000000005</v>
      </c>
      <c r="T35" s="464">
        <f t="shared" si="8"/>
        <v>411.28499999999985</v>
      </c>
      <c r="U35" s="447">
        <v>1480.932096</v>
      </c>
      <c r="V35" s="480">
        <f t="shared" si="9"/>
        <v>888.55925760000002</v>
      </c>
      <c r="W35" s="480">
        <f t="shared" si="10"/>
        <v>592.37283839999998</v>
      </c>
      <c r="X35" s="464">
        <f t="shared" si="11"/>
        <v>-89.994191999999885</v>
      </c>
      <c r="Y35" s="480"/>
      <c r="Z35" s="447">
        <v>496.17000000000007</v>
      </c>
      <c r="AA35" s="464">
        <f t="shared" si="12"/>
        <v>322.51050000000004</v>
      </c>
      <c r="AB35" s="464">
        <f t="shared" si="13"/>
        <v>173.65950000000004</v>
      </c>
      <c r="AC35" s="447">
        <v>1421.6709689440002</v>
      </c>
      <c r="AD35" s="464">
        <f t="shared" si="14"/>
        <v>853.00258136640014</v>
      </c>
      <c r="AE35" s="464">
        <f t="shared" si="15"/>
        <v>568.66838757760001</v>
      </c>
      <c r="AG35" s="447">
        <v>1384.2345888</v>
      </c>
      <c r="AH35" s="509">
        <f t="shared" si="16"/>
        <v>830.5407532800001</v>
      </c>
      <c r="AI35" s="509">
        <f t="shared" si="17"/>
        <v>553.69383551999988</v>
      </c>
      <c r="AJ35" s="447">
        <v>2071.3243967999997</v>
      </c>
      <c r="AK35" s="622">
        <f t="shared" si="18"/>
        <v>1242.7946380799999</v>
      </c>
      <c r="AL35" s="622">
        <f t="shared" si="19"/>
        <v>828.52975871999979</v>
      </c>
      <c r="AM35" s="464">
        <f t="shared" si="20"/>
        <v>0.8690377595365828</v>
      </c>
      <c r="AN35" s="464">
        <f t="shared" si="21"/>
        <v>0.86910581612132065</v>
      </c>
      <c r="AO35" s="717"/>
      <c r="AP35" s="717"/>
      <c r="AQ35" s="464">
        <v>0.90906826389714623</v>
      </c>
      <c r="AS35" s="447">
        <v>830.54075327999999</v>
      </c>
      <c r="AT35" s="447">
        <v>553.69383551999999</v>
      </c>
      <c r="AU35" s="717">
        <f t="shared" si="22"/>
        <v>1384.2345888</v>
      </c>
      <c r="AV35" s="717"/>
      <c r="AW35" s="717"/>
      <c r="AX35" s="464">
        <f t="shared" si="23"/>
        <v>1390.9379040000001</v>
      </c>
    </row>
    <row r="36" spans="1:50" s="447" customFormat="1" ht="14.25">
      <c r="A36" s="445">
        <v>23</v>
      </c>
      <c r="B36" s="385" t="s">
        <v>911</v>
      </c>
      <c r="C36" s="705">
        <v>395.72548559999996</v>
      </c>
      <c r="D36" s="705">
        <v>263.81699040000001</v>
      </c>
      <c r="E36" s="705">
        <f t="shared" si="0"/>
        <v>659.54247599999997</v>
      </c>
      <c r="F36" s="448">
        <v>7.5699999999999932</v>
      </c>
      <c r="G36" s="448">
        <v>5.039999999999992</v>
      </c>
      <c r="H36" s="684">
        <f t="shared" si="1"/>
        <v>12.609999999999985</v>
      </c>
      <c r="I36" s="429">
        <v>340.55168421662813</v>
      </c>
      <c r="J36" s="429">
        <v>209.07249999999999</v>
      </c>
      <c r="K36" s="685">
        <f t="shared" si="2"/>
        <v>549.62418421662812</v>
      </c>
      <c r="L36" s="610">
        <v>317.82798240000005</v>
      </c>
      <c r="M36" s="610">
        <v>211.88532160000005</v>
      </c>
      <c r="N36" s="467">
        <f t="shared" si="3"/>
        <v>529.71330400000011</v>
      </c>
      <c r="O36" s="685">
        <f t="shared" si="4"/>
        <v>30.293701816628072</v>
      </c>
      <c r="P36" s="685">
        <f t="shared" si="5"/>
        <v>2.2271783999999286</v>
      </c>
      <c r="Q36" s="685">
        <f t="shared" si="6"/>
        <v>32.520880216628029</v>
      </c>
      <c r="R36" s="447">
        <v>544.46</v>
      </c>
      <c r="S36" s="464">
        <f t="shared" si="7"/>
        <v>353.899</v>
      </c>
      <c r="T36" s="464">
        <f t="shared" si="8"/>
        <v>190.56100000000004</v>
      </c>
      <c r="U36" s="447">
        <v>642.54209600000002</v>
      </c>
      <c r="V36" s="480">
        <f t="shared" si="9"/>
        <v>385.52525760000003</v>
      </c>
      <c r="W36" s="480">
        <f t="shared" si="10"/>
        <v>257.01683839999998</v>
      </c>
      <c r="X36" s="464">
        <f t="shared" si="11"/>
        <v>-112.82879199999991</v>
      </c>
      <c r="Y36" s="480"/>
      <c r="Z36" s="447">
        <v>321.64999999999998</v>
      </c>
      <c r="AA36" s="464">
        <f t="shared" si="12"/>
        <v>209.07249999999999</v>
      </c>
      <c r="AB36" s="464">
        <f t="shared" si="13"/>
        <v>112.57749999999999</v>
      </c>
      <c r="AC36" s="447">
        <v>613.04609397199988</v>
      </c>
      <c r="AD36" s="464">
        <f t="shared" si="14"/>
        <v>367.82765638319995</v>
      </c>
      <c r="AE36" s="464">
        <f t="shared" si="15"/>
        <v>245.21843758879993</v>
      </c>
      <c r="AG36" s="447">
        <v>527.16046879999999</v>
      </c>
      <c r="AH36" s="509">
        <f t="shared" si="16"/>
        <v>316.29628128000002</v>
      </c>
      <c r="AI36" s="509">
        <f t="shared" si="17"/>
        <v>210.86418751999997</v>
      </c>
      <c r="AJ36" s="447">
        <v>788.8260767999999</v>
      </c>
      <c r="AK36" s="622">
        <f t="shared" si="18"/>
        <v>473.29564607999993</v>
      </c>
      <c r="AL36" s="622">
        <f t="shared" si="19"/>
        <v>315.53043071999997</v>
      </c>
      <c r="AM36" s="464">
        <f t="shared" si="20"/>
        <v>0.80315267518873212</v>
      </c>
      <c r="AN36" s="464">
        <f t="shared" si="21"/>
        <v>0.80315267518873212</v>
      </c>
      <c r="AO36" s="717"/>
      <c r="AP36" s="717"/>
      <c r="AQ36" s="464">
        <v>0.84185882820987545</v>
      </c>
      <c r="AS36" s="447">
        <v>316.29628127999996</v>
      </c>
      <c r="AT36" s="447">
        <v>210.86418752000003</v>
      </c>
      <c r="AU36" s="717">
        <f t="shared" si="22"/>
        <v>527.16046879999999</v>
      </c>
      <c r="AV36" s="717"/>
      <c r="AW36" s="717"/>
      <c r="AX36" s="464">
        <f t="shared" si="23"/>
        <v>529.71330400000011</v>
      </c>
    </row>
    <row r="37" spans="1:50" s="447" customFormat="1" ht="14.25">
      <c r="A37" s="445">
        <v>24</v>
      </c>
      <c r="B37" s="385" t="s">
        <v>912</v>
      </c>
      <c r="C37" s="705">
        <v>252.75010320000001</v>
      </c>
      <c r="D37" s="705">
        <v>168.50006879999998</v>
      </c>
      <c r="E37" s="705">
        <f t="shared" si="0"/>
        <v>421.25017200000002</v>
      </c>
      <c r="F37" s="448">
        <v>102.08999999999997</v>
      </c>
      <c r="G37" s="448">
        <v>68.06</v>
      </c>
      <c r="H37" s="684">
        <f t="shared" si="1"/>
        <v>170.14999999999998</v>
      </c>
      <c r="I37" s="429">
        <v>401.07363434115689</v>
      </c>
      <c r="J37" s="429">
        <v>210.38549999999998</v>
      </c>
      <c r="K37" s="685">
        <f t="shared" si="2"/>
        <v>611.45913434115687</v>
      </c>
      <c r="L37" s="610">
        <v>264.20772480000005</v>
      </c>
      <c r="M37" s="610">
        <v>176.1384832</v>
      </c>
      <c r="N37" s="467">
        <f t="shared" si="3"/>
        <v>440.34620800000005</v>
      </c>
      <c r="O37" s="685">
        <f t="shared" si="4"/>
        <v>238.95590954115681</v>
      </c>
      <c r="P37" s="685">
        <f t="shared" si="5"/>
        <v>102.30701679999999</v>
      </c>
      <c r="Q37" s="685">
        <f t="shared" si="6"/>
        <v>341.2629263411568</v>
      </c>
      <c r="R37" s="447">
        <v>641.22</v>
      </c>
      <c r="S37" s="464">
        <f t="shared" si="7"/>
        <v>416.79300000000001</v>
      </c>
      <c r="T37" s="464">
        <f t="shared" si="8"/>
        <v>224.42700000000002</v>
      </c>
      <c r="U37" s="447">
        <v>504.4904032</v>
      </c>
      <c r="V37" s="480">
        <f t="shared" si="9"/>
        <v>302.69424191999997</v>
      </c>
      <c r="W37" s="480">
        <f t="shared" si="10"/>
        <v>201.79616128000004</v>
      </c>
      <c r="X37" s="464">
        <f t="shared" si="11"/>
        <v>-64.144195199999956</v>
      </c>
      <c r="Y37" s="480"/>
      <c r="Z37" s="447">
        <v>323.67</v>
      </c>
      <c r="AA37" s="464">
        <f t="shared" si="12"/>
        <v>210.38549999999998</v>
      </c>
      <c r="AB37" s="464">
        <f t="shared" si="13"/>
        <v>113.28450000000004</v>
      </c>
      <c r="AC37" s="447">
        <v>448.640103904</v>
      </c>
      <c r="AD37" s="464">
        <f t="shared" si="14"/>
        <v>269.18406234240001</v>
      </c>
      <c r="AE37" s="464">
        <f t="shared" si="15"/>
        <v>179.45604156159999</v>
      </c>
      <c r="AG37" s="447">
        <v>446.48339679999998</v>
      </c>
      <c r="AH37" s="509">
        <f t="shared" si="16"/>
        <v>267.89003807999995</v>
      </c>
      <c r="AI37" s="509">
        <f t="shared" si="17"/>
        <v>178.59335872000003</v>
      </c>
      <c r="AJ37" s="447">
        <v>668.10348479999993</v>
      </c>
      <c r="AK37" s="622">
        <f t="shared" si="18"/>
        <v>400.86209087999998</v>
      </c>
      <c r="AL37" s="622">
        <f t="shared" si="19"/>
        <v>267.24139391999995</v>
      </c>
      <c r="AM37" s="464">
        <f t="shared" si="20"/>
        <v>1.0453318176924093</v>
      </c>
      <c r="AN37" s="464">
        <f t="shared" si="21"/>
        <v>1.0453318176924093</v>
      </c>
      <c r="AO37" s="717"/>
      <c r="AP37" s="717"/>
      <c r="AQ37" s="464">
        <v>1.0957076024647892</v>
      </c>
      <c r="AS37" s="447">
        <v>262.93443456</v>
      </c>
      <c r="AT37" s="447">
        <v>175.28962303999998</v>
      </c>
      <c r="AU37" s="717">
        <f t="shared" si="22"/>
        <v>438.22405759999998</v>
      </c>
      <c r="AV37" s="717"/>
      <c r="AW37" s="717"/>
      <c r="AX37" s="464">
        <f t="shared" si="23"/>
        <v>440.34620800000005</v>
      </c>
    </row>
    <row r="38" spans="1:50" s="447" customFormat="1" ht="14.25">
      <c r="A38" s="445">
        <v>25</v>
      </c>
      <c r="B38" s="385" t="s">
        <v>913</v>
      </c>
      <c r="C38" s="705">
        <v>683.61754880000001</v>
      </c>
      <c r="D38" s="705">
        <v>455.73889919999999</v>
      </c>
      <c r="E38" s="705">
        <f t="shared" si="0"/>
        <v>1139.356448</v>
      </c>
      <c r="F38" s="448">
        <v>108.32999999999993</v>
      </c>
      <c r="G38" s="448">
        <v>72.21999999999997</v>
      </c>
      <c r="H38" s="684">
        <f t="shared" si="1"/>
        <v>180.5499999999999</v>
      </c>
      <c r="I38" s="429">
        <v>691.70534295383038</v>
      </c>
      <c r="J38" s="429">
        <v>278.61600000000004</v>
      </c>
      <c r="K38" s="685">
        <f t="shared" si="2"/>
        <v>970.32134295383048</v>
      </c>
      <c r="L38" s="610">
        <v>665.33716319999996</v>
      </c>
      <c r="M38" s="610">
        <v>443.55810880000001</v>
      </c>
      <c r="N38" s="467">
        <f t="shared" si="3"/>
        <v>1108.895272</v>
      </c>
      <c r="O38" s="685">
        <f t="shared" si="4"/>
        <v>134.69817975383035</v>
      </c>
      <c r="P38" s="685">
        <f t="shared" si="5"/>
        <v>-92.722108800000001</v>
      </c>
      <c r="Q38" s="685">
        <f t="shared" si="6"/>
        <v>41.976070953830458</v>
      </c>
      <c r="R38" s="447">
        <v>1105.8699999999999</v>
      </c>
      <c r="S38" s="464">
        <f t="shared" si="7"/>
        <v>718.81549999999993</v>
      </c>
      <c r="T38" s="464">
        <f t="shared" si="8"/>
        <v>387.05449999999996</v>
      </c>
      <c r="U38" s="447">
        <v>1233.6214184</v>
      </c>
      <c r="V38" s="480">
        <f t="shared" si="9"/>
        <v>740.17285104000007</v>
      </c>
      <c r="W38" s="480">
        <f t="shared" si="10"/>
        <v>493.44856735999997</v>
      </c>
      <c r="X38" s="464">
        <f t="shared" si="11"/>
        <v>-124.72614640000006</v>
      </c>
      <c r="Y38" s="480"/>
      <c r="Z38" s="447">
        <v>428.64000000000004</v>
      </c>
      <c r="AA38" s="464">
        <f t="shared" si="12"/>
        <v>278.61600000000004</v>
      </c>
      <c r="AB38" s="464">
        <f t="shared" si="13"/>
        <v>150.024</v>
      </c>
      <c r="AC38" s="447">
        <v>1105.1786900399998</v>
      </c>
      <c r="AD38" s="464">
        <f t="shared" si="14"/>
        <v>663.10721402399986</v>
      </c>
      <c r="AE38" s="464">
        <f t="shared" si="15"/>
        <v>442.07147601599991</v>
      </c>
      <c r="AG38" s="447">
        <v>1103.5511984</v>
      </c>
      <c r="AH38" s="509">
        <f t="shared" si="16"/>
        <v>662.13071903999992</v>
      </c>
      <c r="AI38" s="509">
        <f t="shared" si="17"/>
        <v>441.42047936000006</v>
      </c>
      <c r="AJ38" s="447">
        <v>1651.3187423999998</v>
      </c>
      <c r="AK38" s="622">
        <f t="shared" si="18"/>
        <v>990.7912454399999</v>
      </c>
      <c r="AL38" s="622">
        <f t="shared" si="19"/>
        <v>660.52749695999989</v>
      </c>
      <c r="AM38" s="464">
        <f t="shared" si="20"/>
        <v>0.97325933830679323</v>
      </c>
      <c r="AN38" s="464">
        <f t="shared" si="21"/>
        <v>0.97327243642931949</v>
      </c>
      <c r="AO38" s="717"/>
      <c r="AP38" s="717"/>
      <c r="AQ38" s="464">
        <v>1.0198065691736871</v>
      </c>
      <c r="AS38" s="447">
        <v>662.13071903999992</v>
      </c>
      <c r="AT38" s="447">
        <v>441.42047936000006</v>
      </c>
      <c r="AU38" s="717">
        <f t="shared" si="22"/>
        <v>1103.5511984</v>
      </c>
      <c r="AV38" s="717"/>
      <c r="AW38" s="717"/>
      <c r="AX38" s="464">
        <f t="shared" si="23"/>
        <v>1108.895272</v>
      </c>
    </row>
    <row r="39" spans="1:50" s="447" customFormat="1" ht="14.25">
      <c r="A39" s="445">
        <v>26</v>
      </c>
      <c r="B39" s="385" t="s">
        <v>914</v>
      </c>
      <c r="C39" s="705">
        <v>503.67153599999995</v>
      </c>
      <c r="D39" s="705">
        <v>335.781024</v>
      </c>
      <c r="E39" s="705">
        <f t="shared" si="0"/>
        <v>839.45255999999995</v>
      </c>
      <c r="F39" s="448">
        <v>50.359999999999957</v>
      </c>
      <c r="G39" s="448">
        <v>33.57000000000005</v>
      </c>
      <c r="H39" s="684">
        <f t="shared" si="1"/>
        <v>83.93</v>
      </c>
      <c r="I39" s="429">
        <v>492.05671479913491</v>
      </c>
      <c r="J39" s="429">
        <v>224.11349999999999</v>
      </c>
      <c r="K39" s="685">
        <f t="shared" si="2"/>
        <v>716.1702147991349</v>
      </c>
      <c r="L39" s="610">
        <v>501.09118560000002</v>
      </c>
      <c r="M39" s="610">
        <v>334.06079040000009</v>
      </c>
      <c r="N39" s="467">
        <f t="shared" si="3"/>
        <v>835.1519760000001</v>
      </c>
      <c r="O39" s="685">
        <f t="shared" si="4"/>
        <v>41.325529199134849</v>
      </c>
      <c r="P39" s="685">
        <f t="shared" si="5"/>
        <v>-76.377290400000049</v>
      </c>
      <c r="Q39" s="685">
        <f t="shared" si="6"/>
        <v>-35.051761200865258</v>
      </c>
      <c r="R39" s="447">
        <v>786.68000000000006</v>
      </c>
      <c r="S39" s="464">
        <f t="shared" si="7"/>
        <v>511.34200000000004</v>
      </c>
      <c r="T39" s="464">
        <f t="shared" si="8"/>
        <v>275.33800000000002</v>
      </c>
      <c r="U39" s="447">
        <v>789.42802399999994</v>
      </c>
      <c r="V39" s="480">
        <f t="shared" si="9"/>
        <v>473.65681439999992</v>
      </c>
      <c r="W39" s="480">
        <f t="shared" si="10"/>
        <v>315.77120960000002</v>
      </c>
      <c r="X39" s="464">
        <f t="shared" si="11"/>
        <v>45.723952000000168</v>
      </c>
      <c r="Y39" s="480"/>
      <c r="Z39" s="447">
        <v>344.78999999999996</v>
      </c>
      <c r="AA39" s="464">
        <f t="shared" si="12"/>
        <v>224.11349999999999</v>
      </c>
      <c r="AB39" s="464">
        <f t="shared" si="13"/>
        <v>120.67649999999998</v>
      </c>
      <c r="AC39" s="447">
        <v>828.4576205479998</v>
      </c>
      <c r="AD39" s="464">
        <f t="shared" si="14"/>
        <v>497.07457232879983</v>
      </c>
      <c r="AE39" s="464">
        <f t="shared" si="15"/>
        <v>331.38304821919996</v>
      </c>
      <c r="AG39" s="447">
        <v>831.12714719999997</v>
      </c>
      <c r="AH39" s="509">
        <f t="shared" si="16"/>
        <v>498.67628831999997</v>
      </c>
      <c r="AI39" s="509">
        <f t="shared" si="17"/>
        <v>332.45085888</v>
      </c>
      <c r="AJ39" s="447">
        <v>1243.6720991999998</v>
      </c>
      <c r="AK39" s="622">
        <f t="shared" si="18"/>
        <v>746.20325951999985</v>
      </c>
      <c r="AL39" s="622">
        <f t="shared" si="19"/>
        <v>497.46883967999997</v>
      </c>
      <c r="AM39" s="464">
        <f t="shared" si="20"/>
        <v>0.99487691835736392</v>
      </c>
      <c r="AN39" s="464">
        <f t="shared" si="21"/>
        <v>0.99487691835736403</v>
      </c>
      <c r="AO39" s="717"/>
      <c r="AP39" s="717"/>
      <c r="AQ39" s="464">
        <v>1.042822793940851</v>
      </c>
      <c r="AS39" s="447">
        <v>498.67628831999997</v>
      </c>
      <c r="AT39" s="447">
        <v>332.45085888</v>
      </c>
      <c r="AU39" s="717">
        <f t="shared" si="22"/>
        <v>831.12714719999997</v>
      </c>
      <c r="AV39" s="717"/>
      <c r="AW39" s="717"/>
      <c r="AX39" s="464">
        <f t="shared" si="23"/>
        <v>835.1519760000001</v>
      </c>
    </row>
    <row r="40" spans="1:50" s="447" customFormat="1" ht="14.25">
      <c r="A40" s="445">
        <v>27</v>
      </c>
      <c r="B40" s="385" t="s">
        <v>915</v>
      </c>
      <c r="C40" s="705">
        <v>342.10668959999998</v>
      </c>
      <c r="D40" s="705">
        <v>228.0711264</v>
      </c>
      <c r="E40" s="705">
        <f t="shared" si="0"/>
        <v>570.17781600000001</v>
      </c>
      <c r="F40" s="448">
        <v>11.930000000000064</v>
      </c>
      <c r="G40" s="448">
        <v>7.9600000000000364</v>
      </c>
      <c r="H40" s="684">
        <f t="shared" si="1"/>
        <v>19.8900000000001</v>
      </c>
      <c r="I40" s="429">
        <v>438.47139579160722</v>
      </c>
      <c r="J40" s="429">
        <v>187.50550000000004</v>
      </c>
      <c r="K40" s="685">
        <f t="shared" si="2"/>
        <v>625.97689579160726</v>
      </c>
      <c r="L40" s="610">
        <v>395.36419200000006</v>
      </c>
      <c r="M40" s="610">
        <v>263.57612799999998</v>
      </c>
      <c r="N40" s="467">
        <f t="shared" si="3"/>
        <v>658.94032000000004</v>
      </c>
      <c r="O40" s="685">
        <f t="shared" si="4"/>
        <v>55.037203791607226</v>
      </c>
      <c r="P40" s="685">
        <f t="shared" si="5"/>
        <v>-68.110627999999906</v>
      </c>
      <c r="Q40" s="685">
        <f t="shared" si="6"/>
        <v>-13.07342420839268</v>
      </c>
      <c r="R40" s="447">
        <v>701.01</v>
      </c>
      <c r="S40" s="464">
        <f t="shared" si="7"/>
        <v>455.65649999999999</v>
      </c>
      <c r="T40" s="464">
        <f t="shared" si="8"/>
        <v>245.3535</v>
      </c>
      <c r="U40" s="447">
        <v>600.70883040000001</v>
      </c>
      <c r="V40" s="480">
        <f t="shared" si="9"/>
        <v>360.42529823999996</v>
      </c>
      <c r="W40" s="480">
        <f t="shared" si="10"/>
        <v>240.28353216000005</v>
      </c>
      <c r="X40" s="464">
        <f t="shared" si="11"/>
        <v>58.231489600000032</v>
      </c>
      <c r="Y40" s="480"/>
      <c r="Z40" s="447">
        <v>288.47000000000003</v>
      </c>
      <c r="AA40" s="464">
        <f t="shared" si="12"/>
        <v>187.50550000000004</v>
      </c>
      <c r="AB40" s="464">
        <f t="shared" si="13"/>
        <v>100.96449999999999</v>
      </c>
      <c r="AC40" s="447">
        <v>561.36396059999993</v>
      </c>
      <c r="AD40" s="464">
        <f t="shared" si="14"/>
        <v>336.81837635999995</v>
      </c>
      <c r="AE40" s="464">
        <f t="shared" si="15"/>
        <v>224.54558423999998</v>
      </c>
      <c r="AG40" s="447">
        <v>655.76470399999994</v>
      </c>
      <c r="AH40" s="509">
        <f t="shared" si="16"/>
        <v>393.45882239999997</v>
      </c>
      <c r="AI40" s="509">
        <f t="shared" si="17"/>
        <v>262.30588159999996</v>
      </c>
      <c r="AJ40" s="447">
        <v>981.26534399999991</v>
      </c>
      <c r="AK40" s="622">
        <f t="shared" si="18"/>
        <v>588.75920639999993</v>
      </c>
      <c r="AL40" s="622">
        <f t="shared" si="19"/>
        <v>392.50613759999999</v>
      </c>
      <c r="AM40" s="464">
        <f t="shared" si="20"/>
        <v>1.155675127143144</v>
      </c>
      <c r="AN40" s="464">
        <f t="shared" si="21"/>
        <v>1.1556751271431436</v>
      </c>
      <c r="AO40" s="717"/>
      <c r="AP40" s="717"/>
      <c r="AQ40" s="464">
        <v>1.2113703139934158</v>
      </c>
      <c r="AS40" s="447">
        <v>393.45882239999997</v>
      </c>
      <c r="AT40" s="447">
        <v>262.30588159999996</v>
      </c>
      <c r="AU40" s="717">
        <f t="shared" si="22"/>
        <v>655.76470399999994</v>
      </c>
      <c r="AV40" s="717"/>
      <c r="AW40" s="717"/>
      <c r="AX40" s="464">
        <f t="shared" si="23"/>
        <v>658.94032000000004</v>
      </c>
    </row>
    <row r="41" spans="1:50" s="447" customFormat="1" ht="14.25">
      <c r="A41" s="445">
        <v>28</v>
      </c>
      <c r="B41" s="385" t="s">
        <v>916</v>
      </c>
      <c r="C41" s="705">
        <v>386.34598080000001</v>
      </c>
      <c r="D41" s="705">
        <v>257.56398719999999</v>
      </c>
      <c r="E41" s="705">
        <f t="shared" si="0"/>
        <v>643.90996799999994</v>
      </c>
      <c r="F41" s="448">
        <v>73.350000000000023</v>
      </c>
      <c r="G41" s="448">
        <v>48.900000000000006</v>
      </c>
      <c r="H41" s="684">
        <f t="shared" si="1"/>
        <v>122.25000000000003</v>
      </c>
      <c r="I41" s="429">
        <v>472.34767543964858</v>
      </c>
      <c r="J41" s="429">
        <v>233.77250000000004</v>
      </c>
      <c r="K41" s="685">
        <f t="shared" si="2"/>
        <v>706.12017543964862</v>
      </c>
      <c r="L41" s="610">
        <v>374.01891600000005</v>
      </c>
      <c r="M41" s="610">
        <v>249.34594399999997</v>
      </c>
      <c r="N41" s="467">
        <f t="shared" si="3"/>
        <v>623.36486000000002</v>
      </c>
      <c r="O41" s="685">
        <f t="shared" si="4"/>
        <v>171.67875943964856</v>
      </c>
      <c r="P41" s="685">
        <f t="shared" si="5"/>
        <v>33.326556000000039</v>
      </c>
      <c r="Q41" s="685">
        <f t="shared" si="6"/>
        <v>205.0053154396486</v>
      </c>
      <c r="R41" s="447">
        <v>755.17000000000007</v>
      </c>
      <c r="S41" s="464">
        <f t="shared" si="7"/>
        <v>490.8605</v>
      </c>
      <c r="T41" s="464">
        <f t="shared" si="8"/>
        <v>264.30950000000007</v>
      </c>
      <c r="U41" s="447">
        <v>701.63182319999999</v>
      </c>
      <c r="V41" s="480">
        <f t="shared" si="9"/>
        <v>420.97909392000003</v>
      </c>
      <c r="W41" s="480">
        <f t="shared" si="10"/>
        <v>280.65272927999996</v>
      </c>
      <c r="X41" s="464">
        <f t="shared" si="11"/>
        <v>-78.266963199999964</v>
      </c>
      <c r="Y41" s="480"/>
      <c r="Z41" s="447">
        <v>359.65000000000003</v>
      </c>
      <c r="AA41" s="464">
        <f t="shared" si="12"/>
        <v>233.77250000000004</v>
      </c>
      <c r="AB41" s="464">
        <f t="shared" si="13"/>
        <v>125.8775</v>
      </c>
      <c r="AC41" s="447">
        <v>634.4364219119999</v>
      </c>
      <c r="AD41" s="464">
        <f t="shared" si="14"/>
        <v>380.66185314719996</v>
      </c>
      <c r="AE41" s="464">
        <f t="shared" si="15"/>
        <v>253.77456876479994</v>
      </c>
      <c r="AG41" s="447">
        <v>649.26837920000003</v>
      </c>
      <c r="AH41" s="509">
        <f t="shared" si="16"/>
        <v>389.56102751999998</v>
      </c>
      <c r="AI41" s="509">
        <f t="shared" si="17"/>
        <v>259.70735168000004</v>
      </c>
      <c r="AJ41" s="447">
        <v>971.54445119999991</v>
      </c>
      <c r="AK41" s="622">
        <f t="shared" si="18"/>
        <v>582.92667071999995</v>
      </c>
      <c r="AL41" s="622">
        <f t="shared" si="19"/>
        <v>388.61778047999996</v>
      </c>
      <c r="AM41" s="464">
        <f t="shared" si="20"/>
        <v>0.96809319777450642</v>
      </c>
      <c r="AN41" s="464">
        <f t="shared" si="21"/>
        <v>0.9680931977745062</v>
      </c>
      <c r="AO41" s="717"/>
      <c r="AP41" s="717"/>
      <c r="AQ41" s="464">
        <v>1.0147445085055742</v>
      </c>
      <c r="AS41" s="447">
        <v>372.21641519999997</v>
      </c>
      <c r="AT41" s="447">
        <v>248.1442768</v>
      </c>
      <c r="AU41" s="717">
        <f t="shared" si="22"/>
        <v>620.36069199999997</v>
      </c>
      <c r="AV41" s="717"/>
      <c r="AW41" s="717"/>
      <c r="AX41" s="464">
        <f t="shared" si="23"/>
        <v>623.36486000000002</v>
      </c>
    </row>
    <row r="42" spans="1:50" s="447" customFormat="1" ht="14.25">
      <c r="A42" s="445">
        <v>29</v>
      </c>
      <c r="B42" s="385" t="s">
        <v>917</v>
      </c>
      <c r="C42" s="705">
        <v>386.22110079999993</v>
      </c>
      <c r="D42" s="705">
        <v>257.40846720000002</v>
      </c>
      <c r="E42" s="705">
        <f t="shared" si="0"/>
        <v>643.62956799999995</v>
      </c>
      <c r="F42" s="448">
        <v>28.009999999999991</v>
      </c>
      <c r="G42" s="448">
        <v>18.669999999999987</v>
      </c>
      <c r="H42" s="684">
        <f t="shared" si="1"/>
        <v>46.679999999999978</v>
      </c>
      <c r="I42" s="429">
        <v>473.64868470235024</v>
      </c>
      <c r="J42" s="429">
        <v>233.49300000000002</v>
      </c>
      <c r="K42" s="685">
        <f t="shared" si="2"/>
        <v>707.14168470235029</v>
      </c>
      <c r="L42" s="610">
        <v>338.73999840000005</v>
      </c>
      <c r="M42" s="610">
        <v>225.82666560000001</v>
      </c>
      <c r="N42" s="467">
        <f t="shared" si="3"/>
        <v>564.56666400000006</v>
      </c>
      <c r="O42" s="685">
        <f t="shared" si="4"/>
        <v>162.91868630235018</v>
      </c>
      <c r="P42" s="685">
        <f t="shared" si="5"/>
        <v>26.336334399999998</v>
      </c>
      <c r="Q42" s="685">
        <f t="shared" si="6"/>
        <v>189.25502070235018</v>
      </c>
      <c r="R42" s="447">
        <v>757.25</v>
      </c>
      <c r="S42" s="464">
        <f t="shared" si="7"/>
        <v>492.21249999999998</v>
      </c>
      <c r="T42" s="464">
        <f t="shared" si="8"/>
        <v>265.03750000000002</v>
      </c>
      <c r="U42" s="447">
        <v>543.98575840000001</v>
      </c>
      <c r="V42" s="480">
        <f t="shared" si="9"/>
        <v>326.39145503999998</v>
      </c>
      <c r="W42" s="480">
        <f t="shared" si="10"/>
        <v>217.59430336000003</v>
      </c>
      <c r="X42" s="464">
        <f t="shared" si="11"/>
        <v>20.580905600000051</v>
      </c>
      <c r="Y42" s="480"/>
      <c r="Z42" s="447">
        <v>359.22</v>
      </c>
      <c r="AA42" s="464">
        <f t="shared" si="12"/>
        <v>233.49300000000002</v>
      </c>
      <c r="AB42" s="464">
        <f t="shared" si="13"/>
        <v>125.727</v>
      </c>
      <c r="AC42" s="447">
        <v>529.2397053279999</v>
      </c>
      <c r="AD42" s="464">
        <f t="shared" si="14"/>
        <v>317.54382319679991</v>
      </c>
      <c r="AE42" s="464">
        <f t="shared" si="15"/>
        <v>211.69588213119999</v>
      </c>
      <c r="AG42" s="447">
        <v>561.84586079999997</v>
      </c>
      <c r="AH42" s="509">
        <f t="shared" si="16"/>
        <v>337.10751647999996</v>
      </c>
      <c r="AI42" s="509">
        <f t="shared" si="17"/>
        <v>224.73834432000001</v>
      </c>
      <c r="AJ42" s="447">
        <v>840.7281888</v>
      </c>
      <c r="AK42" s="622">
        <f t="shared" si="18"/>
        <v>504.43691328</v>
      </c>
      <c r="AL42" s="622">
        <f t="shared" si="19"/>
        <v>336.29127552</v>
      </c>
      <c r="AM42" s="464">
        <f t="shared" si="20"/>
        <v>0.87706238136225645</v>
      </c>
      <c r="AN42" s="464">
        <f t="shared" si="21"/>
        <v>0.87730861403458915</v>
      </c>
      <c r="AO42" s="717"/>
      <c r="AP42" s="717"/>
      <c r="AQ42" s="464">
        <v>0.91267035061957391</v>
      </c>
      <c r="AS42" s="447">
        <v>337.10751647999996</v>
      </c>
      <c r="AT42" s="447">
        <v>224.73834432000001</v>
      </c>
      <c r="AU42" s="717">
        <f t="shared" si="22"/>
        <v>561.84586079999997</v>
      </c>
      <c r="AV42" s="717"/>
      <c r="AW42" s="717"/>
      <c r="AX42" s="464">
        <f t="shared" si="23"/>
        <v>564.56666400000006</v>
      </c>
    </row>
    <row r="43" spans="1:50" s="447" customFormat="1" ht="14.25">
      <c r="A43" s="445">
        <v>30</v>
      </c>
      <c r="B43" s="385" t="s">
        <v>918</v>
      </c>
      <c r="C43" s="705">
        <v>463.42867680000001</v>
      </c>
      <c r="D43" s="705">
        <v>308.95245119999998</v>
      </c>
      <c r="E43" s="705">
        <f t="shared" si="0"/>
        <v>772.38112799999999</v>
      </c>
      <c r="F43" s="448">
        <v>15.46999999999997</v>
      </c>
      <c r="G43" s="448">
        <v>10.32000000000005</v>
      </c>
      <c r="H43" s="684">
        <f t="shared" si="1"/>
        <v>25.79000000000002</v>
      </c>
      <c r="I43" s="429">
        <v>804.38025092647013</v>
      </c>
      <c r="J43" s="429">
        <v>245.90800000000002</v>
      </c>
      <c r="K43" s="685">
        <f t="shared" si="2"/>
        <v>1050.28825092647</v>
      </c>
      <c r="L43" s="610">
        <v>423.83226240000005</v>
      </c>
      <c r="M43" s="610">
        <v>282.55484159999997</v>
      </c>
      <c r="N43" s="467">
        <f t="shared" si="3"/>
        <v>706.38710400000002</v>
      </c>
      <c r="O43" s="685">
        <f t="shared" si="4"/>
        <v>396.01798852647011</v>
      </c>
      <c r="P43" s="685">
        <f t="shared" si="5"/>
        <v>-26.326841599999909</v>
      </c>
      <c r="Q43" s="685">
        <f t="shared" si="6"/>
        <v>369.69114692646997</v>
      </c>
      <c r="R43" s="447">
        <v>1286.01</v>
      </c>
      <c r="S43" s="464">
        <f t="shared" si="7"/>
        <v>835.90649999999994</v>
      </c>
      <c r="T43" s="464">
        <f t="shared" si="8"/>
        <v>450.10350000000005</v>
      </c>
      <c r="U43" s="447">
        <v>718.59125519999998</v>
      </c>
      <c r="V43" s="480">
        <f t="shared" si="9"/>
        <v>431.15475311999995</v>
      </c>
      <c r="W43" s="480">
        <f t="shared" si="10"/>
        <v>287.43650208000003</v>
      </c>
      <c r="X43" s="464">
        <f t="shared" si="11"/>
        <v>-12.204151199999956</v>
      </c>
      <c r="Y43" s="480"/>
      <c r="Z43" s="447">
        <v>378.32000000000005</v>
      </c>
      <c r="AA43" s="464">
        <f t="shared" si="12"/>
        <v>245.90800000000002</v>
      </c>
      <c r="AB43" s="464">
        <f t="shared" si="13"/>
        <v>132.41200000000003</v>
      </c>
      <c r="AC43" s="447">
        <v>707.05077076399994</v>
      </c>
      <c r="AD43" s="464">
        <f t="shared" si="14"/>
        <v>424.23046245839998</v>
      </c>
      <c r="AE43" s="464">
        <f t="shared" si="15"/>
        <v>282.82030830559995</v>
      </c>
      <c r="AG43" s="447">
        <v>704.21885520000001</v>
      </c>
      <c r="AH43" s="509">
        <f t="shared" si="16"/>
        <v>422.53131311999999</v>
      </c>
      <c r="AI43" s="509">
        <f t="shared" si="17"/>
        <v>281.68754208000001</v>
      </c>
      <c r="AJ43" s="447">
        <v>1053.7705871999999</v>
      </c>
      <c r="AK43" s="622">
        <f t="shared" si="18"/>
        <v>632.26235231999988</v>
      </c>
      <c r="AL43" s="622">
        <f t="shared" si="19"/>
        <v>421.50823488000003</v>
      </c>
      <c r="AM43" s="464">
        <f t="shared" si="20"/>
        <v>0.91455769488971783</v>
      </c>
      <c r="AN43" s="464">
        <f t="shared" si="21"/>
        <v>0.91455769488971772</v>
      </c>
      <c r="AO43" s="717"/>
      <c r="AP43" s="717"/>
      <c r="AQ43" s="464">
        <v>0.95862870953004431</v>
      </c>
      <c r="AS43" s="447">
        <v>421.78969727999998</v>
      </c>
      <c r="AT43" s="447">
        <v>281.19313152000001</v>
      </c>
      <c r="AU43" s="717">
        <f t="shared" si="22"/>
        <v>702.98282879999999</v>
      </c>
      <c r="AV43" s="717"/>
      <c r="AW43" s="717"/>
      <c r="AX43" s="464">
        <f t="shared" si="23"/>
        <v>706.38710400000002</v>
      </c>
    </row>
    <row r="44" spans="1:50" s="447" customFormat="1" ht="14.25">
      <c r="A44" s="445">
        <v>31</v>
      </c>
      <c r="B44" s="385" t="s">
        <v>919</v>
      </c>
      <c r="C44" s="705">
        <v>298.61824319999999</v>
      </c>
      <c r="D44" s="705">
        <v>199.0788288</v>
      </c>
      <c r="E44" s="705">
        <f t="shared" si="0"/>
        <v>497.69707199999999</v>
      </c>
      <c r="F44" s="448">
        <v>37.42999999999995</v>
      </c>
      <c r="G44" s="448">
        <v>24.960000000000008</v>
      </c>
      <c r="H44" s="684">
        <f t="shared" si="1"/>
        <v>62.389999999999958</v>
      </c>
      <c r="I44" s="429">
        <v>432.57307014387771</v>
      </c>
      <c r="J44" s="429">
        <v>207.73350000000002</v>
      </c>
      <c r="K44" s="685">
        <f t="shared" si="2"/>
        <v>640.30657014387771</v>
      </c>
      <c r="L44" s="610">
        <v>294.9980688</v>
      </c>
      <c r="M44" s="610">
        <v>196.66537920000002</v>
      </c>
      <c r="N44" s="467">
        <f t="shared" si="3"/>
        <v>491.66344800000002</v>
      </c>
      <c r="O44" s="685">
        <f t="shared" si="4"/>
        <v>175.00500134387767</v>
      </c>
      <c r="P44" s="685">
        <f t="shared" si="5"/>
        <v>36.028120800000011</v>
      </c>
      <c r="Q44" s="685">
        <f t="shared" si="6"/>
        <v>211.03312214387768</v>
      </c>
      <c r="R44" s="447">
        <v>691.58</v>
      </c>
      <c r="S44" s="464">
        <f t="shared" si="7"/>
        <v>449.52700000000004</v>
      </c>
      <c r="T44" s="464">
        <f t="shared" si="8"/>
        <v>242.053</v>
      </c>
      <c r="U44" s="447">
        <v>543.27671999999995</v>
      </c>
      <c r="V44" s="480">
        <f t="shared" si="9"/>
        <v>325.96603199999998</v>
      </c>
      <c r="W44" s="480">
        <f t="shared" si="10"/>
        <v>217.31068799999997</v>
      </c>
      <c r="X44" s="464">
        <f t="shared" si="11"/>
        <v>-51.613271999999938</v>
      </c>
      <c r="Y44" s="480"/>
      <c r="Z44" s="447">
        <v>319.59000000000003</v>
      </c>
      <c r="AA44" s="464">
        <f t="shared" si="12"/>
        <v>207.73350000000002</v>
      </c>
      <c r="AB44" s="464">
        <f t="shared" si="13"/>
        <v>111.85650000000001</v>
      </c>
      <c r="AC44" s="447">
        <v>531.00167632799992</v>
      </c>
      <c r="AD44" s="464">
        <f t="shared" si="14"/>
        <v>318.60100579679994</v>
      </c>
      <c r="AE44" s="464">
        <f t="shared" si="15"/>
        <v>212.40067053119998</v>
      </c>
      <c r="AG44" s="447">
        <v>489.29398560000004</v>
      </c>
      <c r="AH44" s="509">
        <f t="shared" si="16"/>
        <v>293.57639136</v>
      </c>
      <c r="AI44" s="509">
        <f t="shared" si="17"/>
        <v>195.71759424000004</v>
      </c>
      <c r="AJ44" s="447">
        <v>803.85188159999996</v>
      </c>
      <c r="AK44" s="622">
        <f t="shared" si="18"/>
        <v>482.31112895999996</v>
      </c>
      <c r="AL44" s="622">
        <f t="shared" si="19"/>
        <v>321.54075263999999</v>
      </c>
      <c r="AM44" s="464">
        <f t="shared" si="20"/>
        <v>0.98787691481536388</v>
      </c>
      <c r="AN44" s="464">
        <f t="shared" si="21"/>
        <v>0.98787691481536399</v>
      </c>
      <c r="AO44" s="717"/>
      <c r="AP44" s="717"/>
      <c r="AQ44" s="464">
        <v>1.035485440830562</v>
      </c>
      <c r="AS44" s="447">
        <v>293.57639136</v>
      </c>
      <c r="AT44" s="447">
        <v>195.71759424000004</v>
      </c>
      <c r="AU44" s="717">
        <f t="shared" si="22"/>
        <v>489.29398560000004</v>
      </c>
      <c r="AV44" s="717"/>
      <c r="AW44" s="717"/>
      <c r="AX44" s="464">
        <f t="shared" si="23"/>
        <v>491.66344800000002</v>
      </c>
    </row>
    <row r="45" spans="1:50" s="447" customFormat="1" ht="14.25">
      <c r="A45" s="445">
        <v>32</v>
      </c>
      <c r="B45" s="385" t="s">
        <v>920</v>
      </c>
      <c r="C45" s="705">
        <v>302.34824639999999</v>
      </c>
      <c r="D45" s="705">
        <v>201.56549760000001</v>
      </c>
      <c r="E45" s="705">
        <f t="shared" si="0"/>
        <v>503.91374400000001</v>
      </c>
      <c r="F45" s="448">
        <v>70.78000000000003</v>
      </c>
      <c r="G45" s="448">
        <v>47.180000000000007</v>
      </c>
      <c r="H45" s="684">
        <f t="shared" si="1"/>
        <v>117.96000000000004</v>
      </c>
      <c r="I45" s="429">
        <v>382.47795867763642</v>
      </c>
      <c r="J45" s="429">
        <v>194.52549999999999</v>
      </c>
      <c r="K45" s="685">
        <f t="shared" si="2"/>
        <v>577.00345867763644</v>
      </c>
      <c r="L45" s="610">
        <v>358.7854944</v>
      </c>
      <c r="M45" s="610">
        <v>239.1903296000001</v>
      </c>
      <c r="N45" s="467">
        <f t="shared" si="3"/>
        <v>597.9758240000001</v>
      </c>
      <c r="O45" s="685">
        <f t="shared" si="4"/>
        <v>94.472464277636448</v>
      </c>
      <c r="P45" s="685">
        <f t="shared" si="5"/>
        <v>2.5151703999999029</v>
      </c>
      <c r="Q45" s="685">
        <f t="shared" si="6"/>
        <v>96.987634677636379</v>
      </c>
      <c r="R45" s="447">
        <v>611.49</v>
      </c>
      <c r="S45" s="464">
        <f t="shared" si="7"/>
        <v>397.46850000000001</v>
      </c>
      <c r="T45" s="464">
        <f t="shared" si="8"/>
        <v>214.0215</v>
      </c>
      <c r="U45" s="447">
        <v>548.58492639999997</v>
      </c>
      <c r="V45" s="480">
        <f t="shared" si="9"/>
        <v>329.15095583999994</v>
      </c>
      <c r="W45" s="480">
        <f t="shared" si="10"/>
        <v>219.43397056000003</v>
      </c>
      <c r="X45" s="464">
        <f t="shared" si="11"/>
        <v>49.39089760000013</v>
      </c>
      <c r="Y45" s="480"/>
      <c r="Z45" s="447">
        <v>299.27</v>
      </c>
      <c r="AA45" s="464">
        <f t="shared" si="12"/>
        <v>194.52549999999999</v>
      </c>
      <c r="AB45" s="464">
        <f t="shared" si="13"/>
        <v>104.74449999999999</v>
      </c>
      <c r="AC45" s="447">
        <v>527.55526105199999</v>
      </c>
      <c r="AD45" s="464">
        <f t="shared" si="14"/>
        <v>316.53315663119997</v>
      </c>
      <c r="AE45" s="464">
        <f t="shared" si="15"/>
        <v>211.02210442080002</v>
      </c>
      <c r="AG45" s="447">
        <v>595.09401279999997</v>
      </c>
      <c r="AH45" s="509">
        <f t="shared" si="16"/>
        <v>357.05640767999995</v>
      </c>
      <c r="AI45" s="509">
        <f t="shared" si="17"/>
        <v>238.03760512000002</v>
      </c>
      <c r="AJ45" s="447">
        <v>890.47966080000003</v>
      </c>
      <c r="AK45" s="622">
        <f t="shared" si="18"/>
        <v>534.28779648</v>
      </c>
      <c r="AL45" s="622">
        <f t="shared" si="19"/>
        <v>356.19186432000004</v>
      </c>
      <c r="AM45" s="464">
        <f t="shared" si="20"/>
        <v>1.1866630571600365</v>
      </c>
      <c r="AN45" s="464">
        <f t="shared" si="21"/>
        <v>1.1866630571600369</v>
      </c>
      <c r="AO45" s="717"/>
      <c r="AP45" s="717"/>
      <c r="AQ45" s="464">
        <v>1.2438516382279901</v>
      </c>
      <c r="AS45" s="447">
        <v>357.05640767999995</v>
      </c>
      <c r="AT45" s="447">
        <v>238.03760512000002</v>
      </c>
      <c r="AU45" s="717">
        <f t="shared" si="22"/>
        <v>595.09401279999997</v>
      </c>
      <c r="AV45" s="717"/>
      <c r="AW45" s="717"/>
      <c r="AX45" s="464">
        <f t="shared" si="23"/>
        <v>597.9758240000001</v>
      </c>
    </row>
    <row r="46" spans="1:50" s="447" customFormat="1" ht="14.25">
      <c r="A46" s="448">
        <v>33</v>
      </c>
      <c r="B46" s="385" t="s">
        <v>921</v>
      </c>
      <c r="C46" s="705">
        <v>1147.399848</v>
      </c>
      <c r="D46" s="705">
        <v>764.93323199999998</v>
      </c>
      <c r="E46" s="705">
        <f t="shared" si="0"/>
        <v>1912.3330799999999</v>
      </c>
      <c r="F46" s="448">
        <v>26.650000000000091</v>
      </c>
      <c r="G46" s="448">
        <v>17.690000000000055</v>
      </c>
      <c r="H46" s="684">
        <f t="shared" si="1"/>
        <v>44.340000000000146</v>
      </c>
      <c r="I46" s="429">
        <v>989.91793246263148</v>
      </c>
      <c r="J46" s="429">
        <v>423.74800000000005</v>
      </c>
      <c r="K46" s="685">
        <f t="shared" si="2"/>
        <v>1413.6659324626316</v>
      </c>
      <c r="L46" s="610">
        <v>901.91445360000012</v>
      </c>
      <c r="M46" s="610">
        <v>601.27630240000008</v>
      </c>
      <c r="N46" s="467">
        <f t="shared" si="3"/>
        <v>1503.1907560000002</v>
      </c>
      <c r="O46" s="685">
        <f t="shared" si="4"/>
        <v>114.65347886263146</v>
      </c>
      <c r="P46" s="685">
        <f t="shared" si="5"/>
        <v>-159.83830239999998</v>
      </c>
      <c r="Q46" s="685">
        <f t="shared" si="6"/>
        <v>-45.184823537368402</v>
      </c>
      <c r="R46" s="447">
        <v>1582.64</v>
      </c>
      <c r="S46" s="464">
        <f t="shared" si="7"/>
        <v>1028.7160000000001</v>
      </c>
      <c r="T46" s="464">
        <f t="shared" si="8"/>
        <v>553.92399999999998</v>
      </c>
      <c r="U46" s="447">
        <v>1745.2022056000001</v>
      </c>
      <c r="V46" s="480">
        <f t="shared" si="9"/>
        <v>1047.1213233600001</v>
      </c>
      <c r="W46" s="480">
        <f t="shared" si="10"/>
        <v>698.08088223999994</v>
      </c>
      <c r="X46" s="464">
        <f t="shared" si="11"/>
        <v>-242.01144959999988</v>
      </c>
      <c r="Y46" s="480"/>
      <c r="Z46" s="447">
        <v>651.92000000000007</v>
      </c>
      <c r="AA46" s="464">
        <f t="shared" si="12"/>
        <v>423.74800000000005</v>
      </c>
      <c r="AB46" s="464">
        <f t="shared" si="13"/>
        <v>228.17200000000003</v>
      </c>
      <c r="AC46" s="447">
        <v>1873.2993756639999</v>
      </c>
      <c r="AD46" s="464">
        <f t="shared" si="14"/>
        <v>1123.9796253984</v>
      </c>
      <c r="AE46" s="464">
        <f t="shared" si="15"/>
        <v>749.31975026559985</v>
      </c>
      <c r="AG46" s="447">
        <v>1494.7104368</v>
      </c>
      <c r="AH46" s="509">
        <f t="shared" si="16"/>
        <v>896.82626207999999</v>
      </c>
      <c r="AI46" s="509">
        <f t="shared" si="17"/>
        <v>597.88417472000003</v>
      </c>
      <c r="AJ46" s="447">
        <v>2466.0385247999998</v>
      </c>
      <c r="AK46" s="622">
        <f t="shared" si="18"/>
        <v>1479.6231148799998</v>
      </c>
      <c r="AL46" s="622">
        <f t="shared" si="19"/>
        <v>986.41540992</v>
      </c>
      <c r="AM46" s="464">
        <f t="shared" si="20"/>
        <v>0.78605069991259058</v>
      </c>
      <c r="AN46" s="464">
        <f t="shared" si="21"/>
        <v>0.78605069991259069</v>
      </c>
      <c r="AO46" s="717"/>
      <c r="AP46" s="717"/>
      <c r="AQ46" s="464">
        <v>0.82393429914416361</v>
      </c>
      <c r="AS46" s="447">
        <v>897.56787791999989</v>
      </c>
      <c r="AT46" s="447">
        <v>598.37858528000004</v>
      </c>
      <c r="AU46" s="717">
        <f t="shared" si="22"/>
        <v>1495.9464631999999</v>
      </c>
      <c r="AV46" s="717"/>
      <c r="AW46" s="717"/>
      <c r="AX46" s="464">
        <f t="shared" si="23"/>
        <v>1503.1907560000002</v>
      </c>
    </row>
    <row r="47" spans="1:50">
      <c r="A47" s="449" t="s">
        <v>19</v>
      </c>
      <c r="B47" s="19"/>
      <c r="C47" s="3">
        <f>SUM(C14:C46)</f>
        <v>18354.405072000001</v>
      </c>
      <c r="D47" s="3">
        <f>SUM(D14:D46)</f>
        <v>12235.575648000004</v>
      </c>
      <c r="E47" s="684">
        <f t="shared" si="0"/>
        <v>30589.980720000007</v>
      </c>
      <c r="F47" s="465">
        <v>1233.3099999999997</v>
      </c>
      <c r="G47" s="465">
        <v>822.21</v>
      </c>
      <c r="H47" s="684">
        <f t="shared" si="1"/>
        <v>2055.5199999999995</v>
      </c>
      <c r="I47" s="466">
        <f>SUM(I14:I46)</f>
        <v>18775.29</v>
      </c>
      <c r="J47" s="468">
        <f>SUM(J14:J46)</f>
        <v>8901.0935000000009</v>
      </c>
      <c r="K47" s="685">
        <f t="shared" si="2"/>
        <v>27676.383500000004</v>
      </c>
      <c r="L47" s="468">
        <f t="shared" ref="L47:M47" si="24">SUM(L14:L46)</f>
        <v>17168.695814400002</v>
      </c>
      <c r="M47" s="468">
        <f t="shared" si="24"/>
        <v>11445.797209600003</v>
      </c>
      <c r="N47" s="467">
        <f t="shared" si="3"/>
        <v>28614.493024000003</v>
      </c>
      <c r="O47" s="685">
        <f t="shared" si="4"/>
        <v>2839.9041856000003</v>
      </c>
      <c r="P47" s="685">
        <f t="shared" si="5"/>
        <v>-1722.4937096000012</v>
      </c>
      <c r="Q47" s="685">
        <f t="shared" si="6"/>
        <v>1117.4104760000009</v>
      </c>
      <c r="R47" s="15">
        <v>30017.159999999996</v>
      </c>
      <c r="U47" s="15">
        <f>SUM(U14:U46)</f>
        <v>28950.555278400007</v>
      </c>
      <c r="V47" s="480">
        <f t="shared" si="9"/>
        <v>17370.333167040004</v>
      </c>
      <c r="W47" s="480">
        <f t="shared" si="10"/>
        <v>11580.222111360003</v>
      </c>
      <c r="X47" s="464">
        <f t="shared" si="11"/>
        <v>-336.06225440000344</v>
      </c>
      <c r="Z47" s="15">
        <v>13693.989999999998</v>
      </c>
      <c r="AG47" s="15">
        <f>SUM(AG14:AG46)</f>
        <v>28630.7118888</v>
      </c>
      <c r="AH47" s="509">
        <f t="shared" si="16"/>
        <v>17178.427133279998</v>
      </c>
      <c r="AI47" s="509">
        <f t="shared" si="17"/>
        <v>11452.284755520002</v>
      </c>
      <c r="AJ47" s="15">
        <v>42842.082196800002</v>
      </c>
      <c r="AK47" s="622">
        <f t="shared" si="18"/>
        <v>25705.249318080001</v>
      </c>
      <c r="AL47" s="622">
        <f t="shared" si="19"/>
        <v>17136.832878720001</v>
      </c>
      <c r="AM47" s="464">
        <f t="shared" si="20"/>
        <v>0.93539919964996188</v>
      </c>
      <c r="AN47" s="464">
        <f t="shared" si="21"/>
        <v>0.93545228593073215</v>
      </c>
      <c r="AU47" s="717">
        <f>SUM(AU14:AU46)</f>
        <v>28476.591852799997</v>
      </c>
      <c r="AX47" s="717">
        <f>SUM(AX14:AX46)</f>
        <v>28614.49302400001</v>
      </c>
    </row>
    <row r="48" spans="1:50">
      <c r="A48" s="11"/>
      <c r="B48" s="31"/>
      <c r="C48" s="31"/>
      <c r="D48" s="3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</row>
    <row r="49" spans="1:18" ht="14.25" customHeight="1">
      <c r="A49" s="964" t="s">
        <v>672</v>
      </c>
      <c r="B49" s="964"/>
      <c r="C49" s="964"/>
      <c r="D49" s="964"/>
      <c r="E49" s="964"/>
      <c r="F49" s="964"/>
      <c r="G49" s="964"/>
      <c r="H49" s="964"/>
      <c r="I49" s="964"/>
      <c r="J49" s="964"/>
      <c r="K49" s="964"/>
      <c r="L49" s="964"/>
      <c r="M49" s="964"/>
      <c r="N49" s="964"/>
      <c r="O49" s="964"/>
      <c r="P49" s="964"/>
      <c r="Q49" s="964"/>
    </row>
    <row r="50" spans="1:18" ht="15.75" customHeight="1">
      <c r="A50" s="35"/>
      <c r="B50" s="42"/>
      <c r="C50" s="42"/>
      <c r="D50" s="42"/>
      <c r="E50" s="42"/>
      <c r="F50" s="72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1:18" ht="15.75" customHeight="1">
      <c r="A51" s="14" t="s">
        <v>12</v>
      </c>
      <c r="B51" s="14"/>
      <c r="C51" s="14"/>
      <c r="D51" s="634"/>
      <c r="E51" s="14"/>
      <c r="F51" s="14"/>
      <c r="G51" s="14"/>
      <c r="H51" s="14"/>
      <c r="I51" s="14"/>
      <c r="J51" s="14"/>
      <c r="K51" s="14"/>
      <c r="L51" s="14"/>
      <c r="M51" s="14"/>
      <c r="P51" s="871" t="s">
        <v>13</v>
      </c>
      <c r="Q51" s="871"/>
    </row>
    <row r="52" spans="1:18" ht="12.75" customHeight="1">
      <c r="A52" s="871" t="s">
        <v>14</v>
      </c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</row>
    <row r="53" spans="1:18" ht="12.75" customHeight="1">
      <c r="A53" s="871" t="s">
        <v>20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</row>
    <row r="54" spans="1:1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O54" s="850" t="s">
        <v>87</v>
      </c>
      <c r="P54" s="850"/>
      <c r="Q54" s="850"/>
      <c r="R54" s="850"/>
    </row>
  </sheetData>
  <mergeCells count="18">
    <mergeCell ref="O54:R54"/>
    <mergeCell ref="O11:Q11"/>
    <mergeCell ref="L11:N11"/>
    <mergeCell ref="A52:Q52"/>
    <mergeCell ref="P51:Q51"/>
    <mergeCell ref="C11:E11"/>
    <mergeCell ref="F11:H11"/>
    <mergeCell ref="A49:Q49"/>
    <mergeCell ref="P1:Q1"/>
    <mergeCell ref="A2:Q2"/>
    <mergeCell ref="A3:Q3"/>
    <mergeCell ref="A53:Q53"/>
    <mergeCell ref="N10:Q10"/>
    <mergeCell ref="A6:Q6"/>
    <mergeCell ref="A11:A12"/>
    <mergeCell ref="B11:B12"/>
    <mergeCell ref="I11:K11"/>
    <mergeCell ref="A9:B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D53"/>
  <sheetViews>
    <sheetView view="pageBreakPreview" zoomScale="90" zoomScaleSheetLayoutView="90" workbookViewId="0">
      <selection activeCell="L46" sqref="L46:M46"/>
    </sheetView>
  </sheetViews>
  <sheetFormatPr defaultRowHeight="12.75"/>
  <cols>
    <col min="1" max="1" width="7.42578125" style="15" customWidth="1"/>
    <col min="2" max="2" width="17.140625" style="281" customWidth="1"/>
    <col min="3" max="3" width="11.42578125" style="281" customWidth="1"/>
    <col min="4" max="4" width="9.7109375" style="281" customWidth="1"/>
    <col min="5" max="5" width="10" style="281" customWidth="1"/>
    <col min="6" max="6" width="8.42578125" style="281" customWidth="1"/>
    <col min="7" max="7" width="7.28515625" style="281" customWidth="1"/>
    <col min="8" max="8" width="10" style="281" customWidth="1"/>
    <col min="9" max="9" width="9.28515625" style="281" customWidth="1"/>
    <col min="10" max="11" width="10" style="281" customWidth="1"/>
    <col min="12" max="12" width="10.140625" style="281" customWidth="1"/>
    <col min="13" max="13" width="7.85546875" style="281" customWidth="1"/>
    <col min="14" max="14" width="9.42578125" style="281" customWidth="1"/>
    <col min="15" max="15" width="13.7109375" style="281" customWidth="1"/>
    <col min="16" max="16" width="11.85546875" style="281" customWidth="1"/>
    <col min="17" max="17" width="9.7109375" style="15" customWidth="1"/>
    <col min="18" max="16384" width="9.140625" style="15"/>
  </cols>
  <sheetData>
    <row r="1" spans="1:30" customFormat="1" ht="15">
      <c r="A1" s="317"/>
      <c r="B1" s="317"/>
      <c r="C1" s="317"/>
      <c r="D1" s="317"/>
      <c r="E1" s="317"/>
      <c r="F1" s="317"/>
      <c r="G1" s="317"/>
      <c r="H1" s="518"/>
      <c r="I1" s="518"/>
      <c r="J1" s="518"/>
      <c r="K1" s="518"/>
      <c r="L1" s="518"/>
      <c r="M1" s="518"/>
      <c r="N1" s="518"/>
      <c r="O1" s="518"/>
      <c r="P1" s="978" t="s">
        <v>96</v>
      </c>
      <c r="Q1" s="978"/>
      <c r="R1" s="927"/>
      <c r="S1" s="15"/>
      <c r="T1" s="43"/>
      <c r="U1" s="43"/>
    </row>
    <row r="2" spans="1:30" customFormat="1" ht="15">
      <c r="A2" s="979" t="s">
        <v>0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79"/>
      <c r="R2" s="927"/>
      <c r="S2" s="45"/>
      <c r="T2" s="45"/>
      <c r="U2" s="45"/>
    </row>
    <row r="3" spans="1:30" customFormat="1" ht="20.25">
      <c r="A3" s="980" t="s">
        <v>705</v>
      </c>
      <c r="B3" s="980"/>
      <c r="C3" s="980"/>
      <c r="D3" s="980"/>
      <c r="E3" s="980"/>
      <c r="F3" s="980"/>
      <c r="G3" s="980"/>
      <c r="H3" s="980"/>
      <c r="I3" s="980"/>
      <c r="J3" s="980"/>
      <c r="K3" s="980"/>
      <c r="L3" s="980"/>
      <c r="M3" s="980"/>
      <c r="N3" s="980"/>
      <c r="O3" s="980"/>
      <c r="P3" s="980"/>
      <c r="Q3" s="980"/>
      <c r="R3" s="927"/>
      <c r="S3" s="44"/>
      <c r="T3" s="44"/>
      <c r="U3" s="44"/>
    </row>
    <row r="4" spans="1:30" customFormat="1" ht="10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927"/>
    </row>
    <row r="5" spans="1:30" ht="9" customHeight="1">
      <c r="A5" s="519"/>
      <c r="B5" s="519"/>
      <c r="C5" s="519"/>
      <c r="D5" s="519"/>
      <c r="E5" s="520"/>
      <c r="F5" s="520"/>
      <c r="G5" s="520"/>
      <c r="H5" s="520"/>
      <c r="I5" s="520"/>
      <c r="J5" s="520"/>
      <c r="K5" s="520"/>
      <c r="L5" s="520"/>
      <c r="M5" s="520"/>
      <c r="N5" s="519"/>
      <c r="O5" s="519"/>
      <c r="P5" s="520"/>
      <c r="Q5" s="302"/>
      <c r="R5" s="927"/>
    </row>
    <row r="6" spans="1:30" ht="18.600000000000001" customHeight="1">
      <c r="A6" s="295"/>
      <c r="B6" s="521"/>
      <c r="C6" s="521"/>
      <c r="D6" s="982" t="s">
        <v>851</v>
      </c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295"/>
      <c r="Q6" s="295"/>
      <c r="R6" s="927"/>
    </row>
    <row r="7" spans="1:30" ht="5.4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927"/>
    </row>
    <row r="8" spans="1:30">
      <c r="A8" s="972" t="s">
        <v>922</v>
      </c>
      <c r="B8" s="972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482" t="s">
        <v>25</v>
      </c>
      <c r="R8" s="927"/>
    </row>
    <row r="9" spans="1:30" ht="15.75">
      <c r="A9" s="522"/>
      <c r="B9" s="295"/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981" t="s">
        <v>785</v>
      </c>
      <c r="O9" s="981"/>
      <c r="P9" s="981"/>
      <c r="Q9" s="981"/>
      <c r="R9" s="927"/>
      <c r="S9" s="22"/>
    </row>
    <row r="10" spans="1:30" ht="37.15" customHeight="1">
      <c r="A10" s="974" t="s">
        <v>2</v>
      </c>
      <c r="B10" s="974" t="s">
        <v>3</v>
      </c>
      <c r="C10" s="976" t="s">
        <v>764</v>
      </c>
      <c r="D10" s="976"/>
      <c r="E10" s="976"/>
      <c r="F10" s="976" t="s">
        <v>796</v>
      </c>
      <c r="G10" s="976"/>
      <c r="H10" s="976"/>
      <c r="I10" s="966" t="s">
        <v>374</v>
      </c>
      <c r="J10" s="967"/>
      <c r="K10" s="968"/>
      <c r="L10" s="966" t="s">
        <v>97</v>
      </c>
      <c r="M10" s="967"/>
      <c r="N10" s="968"/>
      <c r="O10" s="969" t="s">
        <v>795</v>
      </c>
      <c r="P10" s="970"/>
      <c r="Q10" s="971"/>
      <c r="R10" s="927"/>
    </row>
    <row r="11" spans="1:30" ht="39.75" customHeight="1">
      <c r="A11" s="975"/>
      <c r="B11" s="975"/>
      <c r="C11" s="481" t="s">
        <v>116</v>
      </c>
      <c r="D11" s="481" t="s">
        <v>669</v>
      </c>
      <c r="E11" s="523" t="s">
        <v>19</v>
      </c>
      <c r="F11" s="481" t="s">
        <v>116</v>
      </c>
      <c r="G11" s="481" t="s">
        <v>670</v>
      </c>
      <c r="H11" s="523" t="s">
        <v>19</v>
      </c>
      <c r="I11" s="481" t="s">
        <v>116</v>
      </c>
      <c r="J11" s="481" t="s">
        <v>670</v>
      </c>
      <c r="K11" s="523" t="s">
        <v>19</v>
      </c>
      <c r="L11" s="481" t="s">
        <v>116</v>
      </c>
      <c r="M11" s="481" t="s">
        <v>670</v>
      </c>
      <c r="N11" s="523" t="s">
        <v>19</v>
      </c>
      <c r="O11" s="481" t="s">
        <v>235</v>
      </c>
      <c r="P11" s="481" t="s">
        <v>671</v>
      </c>
      <c r="Q11" s="481" t="s">
        <v>117</v>
      </c>
    </row>
    <row r="12" spans="1:30" s="70" customFormat="1">
      <c r="A12" s="366">
        <v>1</v>
      </c>
      <c r="B12" s="366">
        <v>2</v>
      </c>
      <c r="C12" s="366">
        <v>3</v>
      </c>
      <c r="D12" s="366">
        <v>4</v>
      </c>
      <c r="E12" s="366">
        <v>5</v>
      </c>
      <c r="F12" s="366">
        <v>6</v>
      </c>
      <c r="G12" s="366">
        <v>7</v>
      </c>
      <c r="H12" s="366">
        <v>8</v>
      </c>
      <c r="I12" s="366">
        <v>9</v>
      </c>
      <c r="J12" s="366">
        <v>10</v>
      </c>
      <c r="K12" s="366">
        <v>11</v>
      </c>
      <c r="L12" s="366">
        <v>12</v>
      </c>
      <c r="M12" s="366">
        <v>13</v>
      </c>
      <c r="N12" s="366">
        <v>14</v>
      </c>
      <c r="O12" s="366">
        <v>15</v>
      </c>
      <c r="P12" s="366">
        <v>16</v>
      </c>
      <c r="Q12" s="366">
        <v>17</v>
      </c>
    </row>
    <row r="13" spans="1:30" ht="14.25">
      <c r="A13" s="299">
        <v>1</v>
      </c>
      <c r="B13" s="385" t="s">
        <v>889</v>
      </c>
      <c r="C13" s="524">
        <v>579.34125919999997</v>
      </c>
      <c r="D13" s="524">
        <v>385.23971200000005</v>
      </c>
      <c r="E13" s="525">
        <f>D13+C13</f>
        <v>964.58097120000002</v>
      </c>
      <c r="F13" s="525">
        <v>9.2100000000000364</v>
      </c>
      <c r="G13" s="525">
        <v>6.1400000000000432</v>
      </c>
      <c r="H13" s="525">
        <f>G13+F13</f>
        <v>15.35000000000008</v>
      </c>
      <c r="I13" s="524">
        <v>425.50508713016154</v>
      </c>
      <c r="J13" s="524">
        <v>157.60149999999999</v>
      </c>
      <c r="K13" s="525">
        <f>J13+I13</f>
        <v>583.10658713016153</v>
      </c>
      <c r="L13" s="524">
        <v>478.50019487999998</v>
      </c>
      <c r="M13" s="300">
        <v>319.00012991999995</v>
      </c>
      <c r="N13" s="525">
        <f>M13+L13</f>
        <v>797.50032479999993</v>
      </c>
      <c r="O13" s="524">
        <f>F13+I13-L13</f>
        <v>-43.785107749838403</v>
      </c>
      <c r="P13" s="524">
        <f>G13+J13-M13</f>
        <v>-155.25862991999992</v>
      </c>
      <c r="Q13" s="524">
        <f>H13+K13-N13</f>
        <v>-199.04373766983838</v>
      </c>
      <c r="R13" s="15">
        <v>880.84896603600009</v>
      </c>
      <c r="S13" s="456">
        <f>R13*60/100</f>
        <v>528.50937962160015</v>
      </c>
      <c r="T13" s="464">
        <f>R13-S13</f>
        <v>352.33958641439995</v>
      </c>
      <c r="U13" s="15">
        <v>912.20112479999989</v>
      </c>
      <c r="V13" s="464">
        <f>U13*60/100</f>
        <v>547.32067487999996</v>
      </c>
      <c r="W13" s="464">
        <f>U13-V13</f>
        <v>364.88044991999993</v>
      </c>
      <c r="Y13" s="15">
        <v>791.04805679999993</v>
      </c>
      <c r="Z13" s="15">
        <f>Y13*60/100</f>
        <v>474.62883407999993</v>
      </c>
      <c r="AA13" s="15">
        <f>Y13-Z13</f>
        <v>316.41922271999999</v>
      </c>
      <c r="AB13" s="15">
        <v>797.50032479999993</v>
      </c>
      <c r="AC13" s="15">
        <f>AB13*60/100</f>
        <v>478.50019487999998</v>
      </c>
      <c r="AD13" s="15">
        <f>AB13-AC13</f>
        <v>319.00012991999995</v>
      </c>
    </row>
    <row r="14" spans="1:30" ht="14.25">
      <c r="A14" s="299">
        <v>2</v>
      </c>
      <c r="B14" s="385" t="s">
        <v>890</v>
      </c>
      <c r="C14" s="524">
        <v>763.98553519999996</v>
      </c>
      <c r="D14" s="524">
        <v>508.021072</v>
      </c>
      <c r="E14" s="525">
        <f t="shared" ref="E14:E46" si="0">D14+C14</f>
        <v>1272.0066072</v>
      </c>
      <c r="F14" s="525">
        <v>11.170000000000073</v>
      </c>
      <c r="G14" s="525">
        <v>7.4399999999999977</v>
      </c>
      <c r="H14" s="525">
        <f t="shared" ref="H14:H46" si="1">G14+F14</f>
        <v>18.61000000000007</v>
      </c>
      <c r="I14" s="524">
        <v>411.2190046493406</v>
      </c>
      <c r="J14" s="524">
        <v>168.09800000000001</v>
      </c>
      <c r="K14" s="525">
        <f t="shared" ref="K14:K46" si="2">J14+I14</f>
        <v>579.31700464934056</v>
      </c>
      <c r="L14" s="524">
        <v>673.47721727999988</v>
      </c>
      <c r="M14" s="300">
        <v>448.98481151999999</v>
      </c>
      <c r="N14" s="525">
        <f t="shared" ref="N14:N46" si="3">M14+L14</f>
        <v>1122.4620287999999</v>
      </c>
      <c r="O14" s="524">
        <f t="shared" ref="O14:O45" si="4">F14+I14-L14</f>
        <v>-251.0882126306592</v>
      </c>
      <c r="P14" s="524">
        <f t="shared" ref="P14:P46" si="5">G14+J14-M14</f>
        <v>-273.44681151999998</v>
      </c>
      <c r="Q14" s="524">
        <f t="shared" ref="Q14:Q46" si="6">H14+K14-N14</f>
        <v>-524.53502415065918</v>
      </c>
      <c r="R14" s="15">
        <v>1182.8609611259999</v>
      </c>
      <c r="S14" s="456">
        <f t="shared" ref="S14:S45" si="7">R14*60/100</f>
        <v>709.71657667559998</v>
      </c>
      <c r="T14" s="464">
        <f t="shared" ref="T14:T45" si="8">R14-S14</f>
        <v>473.14438445039991</v>
      </c>
      <c r="U14" s="15">
        <v>1093.7868288</v>
      </c>
      <c r="V14" s="464">
        <f t="shared" ref="V14:V45" si="9">U14*60/100</f>
        <v>656.27209728000003</v>
      </c>
      <c r="W14" s="464">
        <f t="shared" ref="W14:W45" si="10">U14-V14</f>
        <v>437.51473151999994</v>
      </c>
      <c r="Y14" s="15">
        <v>1113.3806208000001</v>
      </c>
      <c r="Z14" s="509">
        <f t="shared" ref="Z14:Z46" si="11">Y14*60/100</f>
        <v>668.02837248000014</v>
      </c>
      <c r="AA14" s="509">
        <f t="shared" ref="AA14:AA46" si="12">Y14-Z14</f>
        <v>445.35224831999994</v>
      </c>
      <c r="AB14" s="15">
        <v>1122.4620287999999</v>
      </c>
      <c r="AC14" s="622">
        <f t="shared" ref="AC14:AC46" si="13">AB14*60/100</f>
        <v>673.47721727999988</v>
      </c>
      <c r="AD14" s="622">
        <f t="shared" ref="AD14:AD46" si="14">AB14-AC14</f>
        <v>448.98481151999999</v>
      </c>
    </row>
    <row r="15" spans="1:30" ht="14.25">
      <c r="A15" s="299">
        <v>3</v>
      </c>
      <c r="B15" s="385" t="s">
        <v>891</v>
      </c>
      <c r="C15" s="524">
        <v>641.20684319999998</v>
      </c>
      <c r="D15" s="524">
        <v>426.37795200000005</v>
      </c>
      <c r="E15" s="525">
        <f t="shared" si="0"/>
        <v>1067.5847951999999</v>
      </c>
      <c r="F15" s="525">
        <v>10.789999999999964</v>
      </c>
      <c r="G15" s="525">
        <v>7.1899999999999977</v>
      </c>
      <c r="H15" s="525">
        <f t="shared" si="1"/>
        <v>17.979999999999961</v>
      </c>
      <c r="I15" s="524">
        <v>369.58253834140203</v>
      </c>
      <c r="J15" s="524">
        <v>153.1705</v>
      </c>
      <c r="K15" s="525">
        <f t="shared" si="2"/>
        <v>522.75303834140209</v>
      </c>
      <c r="L15" s="524">
        <v>747.90656639999986</v>
      </c>
      <c r="M15" s="300">
        <v>498.60437760000002</v>
      </c>
      <c r="N15" s="525">
        <f t="shared" si="3"/>
        <v>1246.5109439999999</v>
      </c>
      <c r="O15" s="524">
        <f t="shared" si="4"/>
        <v>-367.53402805859787</v>
      </c>
      <c r="P15" s="524">
        <f t="shared" si="5"/>
        <v>-338.24387760000002</v>
      </c>
      <c r="Q15" s="524">
        <f t="shared" si="6"/>
        <v>-705.77790565859777</v>
      </c>
      <c r="R15" s="15">
        <v>974.73553312199988</v>
      </c>
      <c r="S15" s="456">
        <f t="shared" si="7"/>
        <v>584.84131987319995</v>
      </c>
      <c r="T15" s="464">
        <f t="shared" si="8"/>
        <v>389.89421324879993</v>
      </c>
      <c r="U15" s="15">
        <v>1067.2909439999999</v>
      </c>
      <c r="V15" s="464">
        <f t="shared" si="9"/>
        <v>640.37456639999994</v>
      </c>
      <c r="W15" s="464">
        <f t="shared" si="10"/>
        <v>426.91637759999992</v>
      </c>
      <c r="Y15" s="15">
        <v>632.00790399999994</v>
      </c>
      <c r="Z15" s="509">
        <f t="shared" si="11"/>
        <v>379.20474239999999</v>
      </c>
      <c r="AA15" s="509">
        <f t="shared" si="12"/>
        <v>252.80316159999995</v>
      </c>
      <c r="AB15" s="15">
        <v>880.90214399999991</v>
      </c>
      <c r="AC15" s="622">
        <f t="shared" si="13"/>
        <v>528.54128639999999</v>
      </c>
      <c r="AD15" s="622">
        <f t="shared" si="14"/>
        <v>352.36085759999992</v>
      </c>
    </row>
    <row r="16" spans="1:30" ht="14.25">
      <c r="A16" s="299">
        <v>4</v>
      </c>
      <c r="B16" s="385" t="s">
        <v>892</v>
      </c>
      <c r="C16" s="524">
        <v>248.67787680000001</v>
      </c>
      <c r="D16" s="524">
        <v>165.36124800000002</v>
      </c>
      <c r="E16" s="525">
        <f t="shared" si="0"/>
        <v>414.03912480000002</v>
      </c>
      <c r="F16" s="525">
        <v>11.310000000000002</v>
      </c>
      <c r="G16" s="525">
        <v>7.539999999999992</v>
      </c>
      <c r="H16" s="525">
        <f t="shared" si="1"/>
        <v>18.849999999999994</v>
      </c>
      <c r="I16" s="524">
        <v>239.31481601190785</v>
      </c>
      <c r="J16" s="524">
        <v>103.15549999999999</v>
      </c>
      <c r="K16" s="525">
        <f t="shared" si="2"/>
        <v>342.47031601190781</v>
      </c>
      <c r="L16" s="524">
        <v>277.61321376000001</v>
      </c>
      <c r="M16" s="300">
        <v>185.07547584000002</v>
      </c>
      <c r="N16" s="525">
        <f t="shared" si="3"/>
        <v>462.68868960000003</v>
      </c>
      <c r="O16" s="524">
        <f t="shared" si="4"/>
        <v>-26.988397748092154</v>
      </c>
      <c r="P16" s="524">
        <f t="shared" si="5"/>
        <v>-74.379975840000043</v>
      </c>
      <c r="Q16" s="524">
        <f t="shared" si="6"/>
        <v>-101.3683735880922</v>
      </c>
      <c r="R16" s="15">
        <v>405.0190921919999</v>
      </c>
      <c r="S16" s="456">
        <f t="shared" si="7"/>
        <v>243.01145531519992</v>
      </c>
      <c r="T16" s="464">
        <f t="shared" si="8"/>
        <v>162.00763687679998</v>
      </c>
      <c r="U16" s="15">
        <v>442.6160496</v>
      </c>
      <c r="V16" s="464">
        <f t="shared" si="9"/>
        <v>265.56962976</v>
      </c>
      <c r="W16" s="464">
        <f t="shared" si="10"/>
        <v>177.04641984</v>
      </c>
      <c r="Y16" s="15">
        <v>885.59325360000003</v>
      </c>
      <c r="Z16" s="509">
        <f t="shared" si="11"/>
        <v>531.35595216000002</v>
      </c>
      <c r="AA16" s="509">
        <f t="shared" si="12"/>
        <v>354.23730144000001</v>
      </c>
      <c r="AB16" s="15">
        <v>462.68868960000003</v>
      </c>
      <c r="AC16" s="622">
        <f t="shared" si="13"/>
        <v>277.61321376000001</v>
      </c>
      <c r="AD16" s="622">
        <f t="shared" si="14"/>
        <v>185.07547584000002</v>
      </c>
    </row>
    <row r="17" spans="1:30" ht="14.25">
      <c r="A17" s="299">
        <v>5</v>
      </c>
      <c r="B17" s="385" t="s">
        <v>893</v>
      </c>
      <c r="C17" s="524">
        <v>1087.3017543999999</v>
      </c>
      <c r="D17" s="524">
        <v>723.12718399999994</v>
      </c>
      <c r="E17" s="525">
        <f t="shared" si="0"/>
        <v>1810.4289383999999</v>
      </c>
      <c r="F17" s="525">
        <v>157.45000000000005</v>
      </c>
      <c r="G17" s="525">
        <v>104.97000000000003</v>
      </c>
      <c r="H17" s="525">
        <f t="shared" si="1"/>
        <v>262.42000000000007</v>
      </c>
      <c r="I17" s="524">
        <v>686.07389100101409</v>
      </c>
      <c r="J17" s="524">
        <v>281.33699999999999</v>
      </c>
      <c r="K17" s="525">
        <f t="shared" si="2"/>
        <v>967.41089100101408</v>
      </c>
      <c r="L17" s="524">
        <v>892.12848479999991</v>
      </c>
      <c r="M17" s="300">
        <v>594.75232319999998</v>
      </c>
      <c r="N17" s="525">
        <f t="shared" si="3"/>
        <v>1486.8808079999999</v>
      </c>
      <c r="O17" s="524">
        <f t="shared" si="4"/>
        <v>-48.604593798985775</v>
      </c>
      <c r="P17" s="524">
        <f t="shared" si="5"/>
        <v>-208.44532319999996</v>
      </c>
      <c r="Q17" s="524">
        <f t="shared" si="6"/>
        <v>-257.04991699898574</v>
      </c>
      <c r="R17" s="15">
        <v>1423.0243620449999</v>
      </c>
      <c r="S17" s="456">
        <f t="shared" si="7"/>
        <v>853.81461722699999</v>
      </c>
      <c r="T17" s="464">
        <f t="shared" si="8"/>
        <v>569.20974481799988</v>
      </c>
      <c r="U17" s="15">
        <v>1271.816808</v>
      </c>
      <c r="V17" s="464">
        <f t="shared" si="9"/>
        <v>763.0900848</v>
      </c>
      <c r="W17" s="464">
        <f t="shared" si="10"/>
        <v>508.72672320000004</v>
      </c>
      <c r="Y17" s="15">
        <v>1474.851028</v>
      </c>
      <c r="Z17" s="509">
        <f t="shared" si="11"/>
        <v>884.91061679999996</v>
      </c>
      <c r="AA17" s="509">
        <f t="shared" si="12"/>
        <v>589.94041120000009</v>
      </c>
      <c r="AB17" s="15">
        <v>1486.8808079999999</v>
      </c>
      <c r="AC17" s="622">
        <f t="shared" si="13"/>
        <v>892.12848479999991</v>
      </c>
      <c r="AD17" s="622">
        <f t="shared" si="14"/>
        <v>594.75232319999998</v>
      </c>
    </row>
    <row r="18" spans="1:30" ht="14.25">
      <c r="A18" s="299">
        <v>6</v>
      </c>
      <c r="B18" s="385" t="s">
        <v>894</v>
      </c>
      <c r="C18" s="524">
        <v>505.18419920000002</v>
      </c>
      <c r="D18" s="524">
        <v>335.92811200000006</v>
      </c>
      <c r="E18" s="525">
        <f t="shared" si="0"/>
        <v>841.11231120000002</v>
      </c>
      <c r="F18" s="525">
        <v>11.629999999999995</v>
      </c>
      <c r="G18" s="525">
        <v>7.7599999999999909</v>
      </c>
      <c r="H18" s="525">
        <f t="shared" si="1"/>
        <v>19.389999999999986</v>
      </c>
      <c r="I18" s="524">
        <v>504.30371545475975</v>
      </c>
      <c r="J18" s="524">
        <v>149.08249999999998</v>
      </c>
      <c r="K18" s="525">
        <f t="shared" si="2"/>
        <v>653.38621545475974</v>
      </c>
      <c r="L18" s="524">
        <v>443.86628831999997</v>
      </c>
      <c r="M18" s="300">
        <v>295.91085887999998</v>
      </c>
      <c r="N18" s="525">
        <f t="shared" si="3"/>
        <v>739.77714719999994</v>
      </c>
      <c r="O18" s="524">
        <f t="shared" si="4"/>
        <v>72.067427134759782</v>
      </c>
      <c r="P18" s="524">
        <f t="shared" si="5"/>
        <v>-139.06835888000001</v>
      </c>
      <c r="Q18" s="524">
        <f t="shared" si="6"/>
        <v>-67.000931745240223</v>
      </c>
      <c r="R18" s="15">
        <v>763.39047357300001</v>
      </c>
      <c r="S18" s="456">
        <f t="shared" si="7"/>
        <v>458.03428414380005</v>
      </c>
      <c r="T18" s="464">
        <f t="shared" si="8"/>
        <v>305.35618942919996</v>
      </c>
      <c r="U18" s="15">
        <v>782.78994720000003</v>
      </c>
      <c r="V18" s="464">
        <f t="shared" si="9"/>
        <v>469.67396831999997</v>
      </c>
      <c r="W18" s="464">
        <f t="shared" si="10"/>
        <v>313.11597888000006</v>
      </c>
      <c r="Y18" s="15">
        <v>733.7918952</v>
      </c>
      <c r="Z18" s="509">
        <f t="shared" si="11"/>
        <v>440.27513712000001</v>
      </c>
      <c r="AA18" s="509">
        <f t="shared" si="12"/>
        <v>293.51675807999999</v>
      </c>
      <c r="AB18" s="15">
        <v>739.77714719999994</v>
      </c>
      <c r="AC18" s="622">
        <f t="shared" si="13"/>
        <v>443.86628831999997</v>
      </c>
      <c r="AD18" s="622">
        <f t="shared" si="14"/>
        <v>295.91085887999998</v>
      </c>
    </row>
    <row r="19" spans="1:30" ht="14.25">
      <c r="A19" s="299">
        <v>7</v>
      </c>
      <c r="B19" s="385" t="s">
        <v>895</v>
      </c>
      <c r="C19" s="524">
        <v>670.13353760000007</v>
      </c>
      <c r="D19" s="524">
        <v>445.65133600000001</v>
      </c>
      <c r="E19" s="525">
        <f t="shared" si="0"/>
        <v>1115.7848736000001</v>
      </c>
      <c r="F19" s="525">
        <v>32.590000000000032</v>
      </c>
      <c r="G19" s="525">
        <v>21.729999999999961</v>
      </c>
      <c r="H19" s="525">
        <f t="shared" si="1"/>
        <v>54.319999999999993</v>
      </c>
      <c r="I19" s="524">
        <v>359.92504650673141</v>
      </c>
      <c r="J19" s="524">
        <v>225.94600000000003</v>
      </c>
      <c r="K19" s="525">
        <f t="shared" si="2"/>
        <v>585.87104650673143</v>
      </c>
      <c r="L19" s="524">
        <v>670.78461599999991</v>
      </c>
      <c r="M19" s="300">
        <v>447.18974400000002</v>
      </c>
      <c r="N19" s="525">
        <f t="shared" si="3"/>
        <v>1117.9743599999999</v>
      </c>
      <c r="O19" s="524">
        <f t="shared" si="4"/>
        <v>-278.26956949326848</v>
      </c>
      <c r="P19" s="524">
        <f t="shared" si="5"/>
        <v>-199.51374400000003</v>
      </c>
      <c r="Q19" s="524">
        <f t="shared" si="6"/>
        <v>-477.78331349326845</v>
      </c>
      <c r="R19" s="15">
        <v>1029.3637076969999</v>
      </c>
      <c r="S19" s="456">
        <f t="shared" si="7"/>
        <v>617.61822461819986</v>
      </c>
      <c r="T19" s="464">
        <f t="shared" si="8"/>
        <v>411.74548307880002</v>
      </c>
      <c r="U19" s="15">
        <v>1060.6239599999999</v>
      </c>
      <c r="V19" s="464">
        <f t="shared" si="9"/>
        <v>636.37437599999987</v>
      </c>
      <c r="W19" s="464">
        <f t="shared" si="10"/>
        <v>424.24958400000003</v>
      </c>
      <c r="Y19" s="15">
        <v>1108.9292600000001</v>
      </c>
      <c r="Z19" s="509">
        <f t="shared" si="11"/>
        <v>665.35755600000005</v>
      </c>
      <c r="AA19" s="509">
        <f t="shared" si="12"/>
        <v>443.57170400000007</v>
      </c>
      <c r="AB19" s="15">
        <v>1117.9743599999999</v>
      </c>
      <c r="AC19" s="622">
        <f t="shared" si="13"/>
        <v>670.78461599999991</v>
      </c>
      <c r="AD19" s="622">
        <f t="shared" si="14"/>
        <v>447.18974400000002</v>
      </c>
    </row>
    <row r="20" spans="1:30" ht="14.25">
      <c r="A20" s="299">
        <v>8</v>
      </c>
      <c r="B20" s="385" t="s">
        <v>896</v>
      </c>
      <c r="C20" s="524">
        <v>424.28628480000003</v>
      </c>
      <c r="D20" s="524">
        <v>282.13972799999999</v>
      </c>
      <c r="E20" s="525">
        <f t="shared" si="0"/>
        <v>706.42601280000008</v>
      </c>
      <c r="F20" s="525">
        <v>42.149999999999977</v>
      </c>
      <c r="G20" s="525">
        <v>28.099999999999966</v>
      </c>
      <c r="H20" s="525">
        <f t="shared" si="1"/>
        <v>70.249999999999943</v>
      </c>
      <c r="I20" s="524">
        <v>260.53544465898841</v>
      </c>
      <c r="J20" s="524">
        <v>148.22149999999999</v>
      </c>
      <c r="K20" s="525">
        <f t="shared" si="2"/>
        <v>408.7569446589884</v>
      </c>
      <c r="L20" s="524">
        <v>395.7435676799999</v>
      </c>
      <c r="M20" s="300">
        <v>263.82904511999999</v>
      </c>
      <c r="N20" s="525">
        <f t="shared" si="3"/>
        <v>659.57261279999989</v>
      </c>
      <c r="O20" s="524">
        <f t="shared" si="4"/>
        <v>-93.058123021011511</v>
      </c>
      <c r="P20" s="524">
        <f t="shared" si="5"/>
        <v>-87.507545120000032</v>
      </c>
      <c r="Q20" s="524">
        <f t="shared" si="6"/>
        <v>-180.56566814101154</v>
      </c>
      <c r="R20" s="15">
        <v>657.69155337599989</v>
      </c>
      <c r="S20" s="456">
        <f t="shared" si="7"/>
        <v>394.6149320255999</v>
      </c>
      <c r="T20" s="464">
        <f t="shared" si="8"/>
        <v>263.07662135039999</v>
      </c>
      <c r="U20" s="15">
        <v>734.70163679999996</v>
      </c>
      <c r="V20" s="464">
        <f t="shared" si="9"/>
        <v>440.82098207999996</v>
      </c>
      <c r="W20" s="464">
        <f t="shared" si="10"/>
        <v>293.88065472</v>
      </c>
      <c r="Y20" s="15">
        <v>654.23626479999996</v>
      </c>
      <c r="Z20" s="509">
        <f t="shared" si="11"/>
        <v>392.54175887999997</v>
      </c>
      <c r="AA20" s="509">
        <f t="shared" si="12"/>
        <v>261.69450591999998</v>
      </c>
      <c r="AB20" s="15">
        <v>659.57261279999989</v>
      </c>
      <c r="AC20" s="622">
        <f t="shared" si="13"/>
        <v>395.7435676799999</v>
      </c>
      <c r="AD20" s="622">
        <f t="shared" si="14"/>
        <v>263.82904511999999</v>
      </c>
    </row>
    <row r="21" spans="1:30" ht="14.25">
      <c r="A21" s="299">
        <v>9</v>
      </c>
      <c r="B21" s="385" t="s">
        <v>897</v>
      </c>
      <c r="C21" s="524">
        <v>279.22060720000002</v>
      </c>
      <c r="D21" s="524">
        <v>185.67099199999998</v>
      </c>
      <c r="E21" s="525">
        <f t="shared" si="0"/>
        <v>464.89159919999997</v>
      </c>
      <c r="F21" s="525">
        <v>8.7699999999999818</v>
      </c>
      <c r="G21" s="525">
        <v>5.8500000000000227</v>
      </c>
      <c r="H21" s="525">
        <f t="shared" si="1"/>
        <v>14.620000000000005</v>
      </c>
      <c r="I21" s="524">
        <v>248.54280799382752</v>
      </c>
      <c r="J21" s="524">
        <v>118.01300000000001</v>
      </c>
      <c r="K21" s="525">
        <f t="shared" si="2"/>
        <v>366.55580799382756</v>
      </c>
      <c r="L21" s="524">
        <v>286.32760703999998</v>
      </c>
      <c r="M21" s="300">
        <v>190.88507135999998</v>
      </c>
      <c r="N21" s="525">
        <f t="shared" si="3"/>
        <v>477.21267839999996</v>
      </c>
      <c r="O21" s="524">
        <f t="shared" si="4"/>
        <v>-29.01479904617247</v>
      </c>
      <c r="P21" s="524">
        <f t="shared" si="5"/>
        <v>-67.022071359999956</v>
      </c>
      <c r="Q21" s="524">
        <f t="shared" si="6"/>
        <v>-96.036870406172397</v>
      </c>
      <c r="R21" s="15">
        <v>418.91101059599993</v>
      </c>
      <c r="S21" s="456">
        <f t="shared" si="7"/>
        <v>251.34660635759997</v>
      </c>
      <c r="T21" s="464">
        <f t="shared" si="8"/>
        <v>167.56440423839996</v>
      </c>
      <c r="U21" s="15">
        <v>434.19987839999999</v>
      </c>
      <c r="V21" s="464">
        <f t="shared" si="9"/>
        <v>260.51992704000003</v>
      </c>
      <c r="W21" s="464">
        <f t="shared" si="10"/>
        <v>173.67995135999996</v>
      </c>
      <c r="Y21" s="15">
        <v>473.3517344</v>
      </c>
      <c r="Z21" s="509">
        <f t="shared" si="11"/>
        <v>284.01104063999998</v>
      </c>
      <c r="AA21" s="509">
        <f t="shared" si="12"/>
        <v>189.34069376000002</v>
      </c>
      <c r="AB21" s="15">
        <v>477.21267839999996</v>
      </c>
      <c r="AC21" s="622">
        <f t="shared" si="13"/>
        <v>286.32760703999998</v>
      </c>
      <c r="AD21" s="622">
        <f t="shared" si="14"/>
        <v>190.88507135999998</v>
      </c>
    </row>
    <row r="22" spans="1:30" ht="14.25">
      <c r="A22" s="299">
        <v>10</v>
      </c>
      <c r="B22" s="385" t="s">
        <v>898</v>
      </c>
      <c r="C22" s="524">
        <v>378.28718240000001</v>
      </c>
      <c r="D22" s="524">
        <v>251.54646400000001</v>
      </c>
      <c r="E22" s="525">
        <f t="shared" si="0"/>
        <v>629.83364640000002</v>
      </c>
      <c r="F22" s="525">
        <v>17.35000000000008</v>
      </c>
      <c r="G22" s="525">
        <v>11.569999999999993</v>
      </c>
      <c r="H22" s="525">
        <f t="shared" si="1"/>
        <v>28.920000000000073</v>
      </c>
      <c r="I22" s="524">
        <v>313.96022245941987</v>
      </c>
      <c r="J22" s="524">
        <v>127.03949999999998</v>
      </c>
      <c r="K22" s="525">
        <f t="shared" si="2"/>
        <v>440.99972245941984</v>
      </c>
      <c r="L22" s="524">
        <v>395.24461919999993</v>
      </c>
      <c r="M22" s="300">
        <v>263.49641279999997</v>
      </c>
      <c r="N22" s="525">
        <f t="shared" si="3"/>
        <v>658.7410319999999</v>
      </c>
      <c r="O22" s="524">
        <f t="shared" si="4"/>
        <v>-63.934396740579984</v>
      </c>
      <c r="P22" s="524">
        <f t="shared" si="5"/>
        <v>-124.8869128</v>
      </c>
      <c r="Q22" s="524">
        <f t="shared" si="6"/>
        <v>-188.82130954057999</v>
      </c>
      <c r="R22" s="15">
        <v>606.91638048599998</v>
      </c>
      <c r="S22" s="456">
        <f t="shared" si="7"/>
        <v>364.14982829159999</v>
      </c>
      <c r="T22" s="464">
        <f t="shared" si="8"/>
        <v>242.76655219439999</v>
      </c>
      <c r="U22" s="15">
        <v>634.36711199999991</v>
      </c>
      <c r="V22" s="464">
        <f t="shared" si="9"/>
        <v>380.62026719999994</v>
      </c>
      <c r="W22" s="464">
        <f t="shared" si="10"/>
        <v>253.74684479999996</v>
      </c>
      <c r="Y22" s="15">
        <v>653.41141199999993</v>
      </c>
      <c r="Z22" s="509">
        <f t="shared" si="11"/>
        <v>392.0468472</v>
      </c>
      <c r="AA22" s="509">
        <f t="shared" si="12"/>
        <v>261.36456479999993</v>
      </c>
      <c r="AB22" s="15">
        <v>658.7410319999999</v>
      </c>
      <c r="AC22" s="622">
        <f t="shared" si="13"/>
        <v>395.24461919999993</v>
      </c>
      <c r="AD22" s="622">
        <f t="shared" si="14"/>
        <v>263.49641279999997</v>
      </c>
    </row>
    <row r="23" spans="1:30" ht="14.25">
      <c r="A23" s="299">
        <v>11</v>
      </c>
      <c r="B23" s="385" t="s">
        <v>899</v>
      </c>
      <c r="C23" s="524">
        <v>451.88042560000002</v>
      </c>
      <c r="D23" s="524">
        <v>300.49541600000003</v>
      </c>
      <c r="E23" s="525">
        <f t="shared" si="0"/>
        <v>752.37584160000006</v>
      </c>
      <c r="F23" s="525">
        <v>15.300000000000011</v>
      </c>
      <c r="G23" s="525">
        <v>10.199999999999989</v>
      </c>
      <c r="H23" s="525">
        <f t="shared" si="1"/>
        <v>25.5</v>
      </c>
      <c r="I23" s="524">
        <v>364.98313700563278</v>
      </c>
      <c r="J23" s="524">
        <v>145.31650000000002</v>
      </c>
      <c r="K23" s="525">
        <f t="shared" si="2"/>
        <v>510.2996370056328</v>
      </c>
      <c r="L23" s="524">
        <v>426.01597631999999</v>
      </c>
      <c r="M23" s="300">
        <v>284.01065088000001</v>
      </c>
      <c r="N23" s="525">
        <f t="shared" si="3"/>
        <v>710.02662720000001</v>
      </c>
      <c r="O23" s="524">
        <f t="shared" si="4"/>
        <v>-45.732839314367197</v>
      </c>
      <c r="P23" s="524">
        <f t="shared" si="5"/>
        <v>-128.49415088000001</v>
      </c>
      <c r="Q23" s="524">
        <f t="shared" si="6"/>
        <v>-174.2269901943672</v>
      </c>
      <c r="R23" s="15">
        <v>671.96349386400004</v>
      </c>
      <c r="S23" s="456">
        <f t="shared" si="7"/>
        <v>403.17809631840004</v>
      </c>
      <c r="T23" s="464">
        <f t="shared" si="8"/>
        <v>268.78539754560001</v>
      </c>
      <c r="U23" s="15">
        <v>689.95398720000003</v>
      </c>
      <c r="V23" s="464">
        <f t="shared" si="9"/>
        <v>413.97239231999998</v>
      </c>
      <c r="W23" s="464">
        <f t="shared" si="10"/>
        <v>275.98159488000005</v>
      </c>
      <c r="Y23" s="15">
        <v>704.28207520000001</v>
      </c>
      <c r="Z23" s="509">
        <f t="shared" si="11"/>
        <v>422.56924512000001</v>
      </c>
      <c r="AA23" s="509">
        <f t="shared" si="12"/>
        <v>281.71283008</v>
      </c>
      <c r="AB23" s="15">
        <v>710.02662720000001</v>
      </c>
      <c r="AC23" s="622">
        <f t="shared" si="13"/>
        <v>426.01597631999999</v>
      </c>
      <c r="AD23" s="622">
        <f t="shared" si="14"/>
        <v>284.01065088000001</v>
      </c>
    </row>
    <row r="24" spans="1:30" ht="14.25">
      <c r="A24" s="299">
        <v>12</v>
      </c>
      <c r="B24" s="385" t="s">
        <v>900</v>
      </c>
      <c r="C24" s="524">
        <v>349.79454320000002</v>
      </c>
      <c r="D24" s="524">
        <v>232.599952</v>
      </c>
      <c r="E24" s="525">
        <f t="shared" si="0"/>
        <v>582.39449520000005</v>
      </c>
      <c r="F24" s="525">
        <v>29.379999999999995</v>
      </c>
      <c r="G24" s="525">
        <v>19.589999999999975</v>
      </c>
      <c r="H24" s="525">
        <f t="shared" si="1"/>
        <v>48.96999999999997</v>
      </c>
      <c r="I24" s="524">
        <v>318.35946852400434</v>
      </c>
      <c r="J24" s="524">
        <v>121.87350000000004</v>
      </c>
      <c r="K24" s="525">
        <f t="shared" si="2"/>
        <v>440.23296852400438</v>
      </c>
      <c r="L24" s="524">
        <v>386.82271295999999</v>
      </c>
      <c r="M24" s="300">
        <v>257.88180864000003</v>
      </c>
      <c r="N24" s="525">
        <f t="shared" si="3"/>
        <v>644.70452160000002</v>
      </c>
      <c r="O24" s="524">
        <f t="shared" si="4"/>
        <v>-39.083244435995653</v>
      </c>
      <c r="P24" s="524">
        <f t="shared" si="5"/>
        <v>-116.41830864000002</v>
      </c>
      <c r="Q24" s="524">
        <f t="shared" si="6"/>
        <v>-155.50155307599567</v>
      </c>
      <c r="R24" s="15">
        <v>559.22360894400003</v>
      </c>
      <c r="S24" s="456">
        <f t="shared" si="7"/>
        <v>335.53416536640003</v>
      </c>
      <c r="T24" s="464">
        <f t="shared" si="8"/>
        <v>223.6894435776</v>
      </c>
      <c r="U24" s="15">
        <v>542.90756160000001</v>
      </c>
      <c r="V24" s="464">
        <f t="shared" si="9"/>
        <v>325.74453696</v>
      </c>
      <c r="W24" s="464">
        <f t="shared" si="10"/>
        <v>217.16302464</v>
      </c>
      <c r="Y24" s="15">
        <v>639.48846560000004</v>
      </c>
      <c r="Z24" s="509">
        <f t="shared" si="11"/>
        <v>383.69307936000007</v>
      </c>
      <c r="AA24" s="509">
        <f t="shared" si="12"/>
        <v>255.79538623999997</v>
      </c>
      <c r="AB24" s="15">
        <v>644.70452160000002</v>
      </c>
      <c r="AC24" s="622">
        <f t="shared" si="13"/>
        <v>386.82271295999999</v>
      </c>
      <c r="AD24" s="622">
        <f t="shared" si="14"/>
        <v>257.88180864000003</v>
      </c>
    </row>
    <row r="25" spans="1:30" ht="14.25">
      <c r="A25" s="299">
        <v>13</v>
      </c>
      <c r="B25" s="385" t="s">
        <v>901</v>
      </c>
      <c r="C25" s="524">
        <v>334.44607280000002</v>
      </c>
      <c r="D25" s="524">
        <v>222.39380800000001</v>
      </c>
      <c r="E25" s="525">
        <f t="shared" si="0"/>
        <v>556.83988080000006</v>
      </c>
      <c r="F25" s="525">
        <v>43.96999999999997</v>
      </c>
      <c r="G25" s="525">
        <v>29.319999999999993</v>
      </c>
      <c r="H25" s="525">
        <f t="shared" si="1"/>
        <v>73.289999999999964</v>
      </c>
      <c r="I25" s="524">
        <v>246.24936217816736</v>
      </c>
      <c r="J25" s="524">
        <v>122.41600000000003</v>
      </c>
      <c r="K25" s="525">
        <f t="shared" si="2"/>
        <v>368.66536217816736</v>
      </c>
      <c r="L25" s="524">
        <v>212.25096288</v>
      </c>
      <c r="M25" s="300">
        <v>141.50064191999999</v>
      </c>
      <c r="N25" s="525">
        <f t="shared" si="3"/>
        <v>353.7516048</v>
      </c>
      <c r="O25" s="524">
        <f t="shared" si="4"/>
        <v>77.968399298167327</v>
      </c>
      <c r="P25" s="524">
        <f t="shared" si="5"/>
        <v>10.235358080000026</v>
      </c>
      <c r="Q25" s="524">
        <f t="shared" si="6"/>
        <v>88.203757378167325</v>
      </c>
      <c r="R25" s="15">
        <v>499.19067584100003</v>
      </c>
      <c r="S25" s="456">
        <f t="shared" si="7"/>
        <v>299.51440550460001</v>
      </c>
      <c r="T25" s="464">
        <f t="shared" si="8"/>
        <v>199.67627033640002</v>
      </c>
      <c r="U25" s="15">
        <v>525.80280479999999</v>
      </c>
      <c r="V25" s="464">
        <f t="shared" si="9"/>
        <v>315.48168287999999</v>
      </c>
      <c r="W25" s="464">
        <f t="shared" si="10"/>
        <v>210.32112192</v>
      </c>
      <c r="Y25" s="15">
        <v>350.88953679999997</v>
      </c>
      <c r="Z25" s="509">
        <f t="shared" si="11"/>
        <v>210.53372207999996</v>
      </c>
      <c r="AA25" s="509">
        <f t="shared" si="12"/>
        <v>140.35581472000001</v>
      </c>
      <c r="AB25" s="15">
        <v>353.7516048</v>
      </c>
      <c r="AC25" s="622">
        <f t="shared" si="13"/>
        <v>212.25096288</v>
      </c>
      <c r="AD25" s="622">
        <f t="shared" si="14"/>
        <v>141.50064191999999</v>
      </c>
    </row>
    <row r="26" spans="1:30" ht="14.25">
      <c r="A26" s="299">
        <v>14</v>
      </c>
      <c r="B26" s="385" t="s">
        <v>902</v>
      </c>
      <c r="C26" s="524">
        <v>524.86010160000001</v>
      </c>
      <c r="D26" s="524">
        <v>349.01817600000004</v>
      </c>
      <c r="E26" s="525">
        <f t="shared" si="0"/>
        <v>873.87827760000005</v>
      </c>
      <c r="F26" s="525">
        <v>22.220000000000027</v>
      </c>
      <c r="G26" s="525">
        <v>14.809999999999945</v>
      </c>
      <c r="H26" s="525">
        <f t="shared" si="1"/>
        <v>37.029999999999973</v>
      </c>
      <c r="I26" s="524">
        <v>500.73427978529617</v>
      </c>
      <c r="J26" s="524">
        <v>175.66500000000002</v>
      </c>
      <c r="K26" s="525">
        <f t="shared" si="2"/>
        <v>676.39927978529613</v>
      </c>
      <c r="L26" s="524">
        <v>533.60819423999999</v>
      </c>
      <c r="M26" s="300">
        <v>355.73879615999988</v>
      </c>
      <c r="N26" s="525">
        <f t="shared" si="3"/>
        <v>889.34699039999987</v>
      </c>
      <c r="O26" s="524">
        <f t="shared" si="4"/>
        <v>-10.653914454703795</v>
      </c>
      <c r="P26" s="524">
        <f t="shared" si="5"/>
        <v>-165.26379615999991</v>
      </c>
      <c r="Q26" s="524">
        <f t="shared" si="6"/>
        <v>-175.91771061470376</v>
      </c>
      <c r="R26" s="15">
        <v>838.0753692479999</v>
      </c>
      <c r="S26" s="456">
        <f t="shared" si="7"/>
        <v>502.84522154879994</v>
      </c>
      <c r="T26" s="464">
        <f t="shared" si="8"/>
        <v>335.23014769919996</v>
      </c>
      <c r="U26" s="15">
        <v>866.40683039999988</v>
      </c>
      <c r="V26" s="464">
        <f t="shared" si="9"/>
        <v>519.84409823999999</v>
      </c>
      <c r="W26" s="464">
        <f t="shared" si="10"/>
        <v>346.56273215999988</v>
      </c>
      <c r="Y26" s="15">
        <v>882.15162640000005</v>
      </c>
      <c r="Z26" s="509">
        <f t="shared" si="11"/>
        <v>529.29097583999999</v>
      </c>
      <c r="AA26" s="509">
        <f t="shared" si="12"/>
        <v>352.86065056000007</v>
      </c>
      <c r="AB26" s="15">
        <v>889.34699039999987</v>
      </c>
      <c r="AC26" s="622">
        <f t="shared" si="13"/>
        <v>533.60819423999999</v>
      </c>
      <c r="AD26" s="622">
        <f t="shared" si="14"/>
        <v>355.73879615999988</v>
      </c>
    </row>
    <row r="27" spans="1:30" s="447" customFormat="1" ht="14.25">
      <c r="A27" s="299">
        <v>15</v>
      </c>
      <c r="B27" s="385" t="s">
        <v>903</v>
      </c>
      <c r="C27" s="524">
        <v>369.56516320000003</v>
      </c>
      <c r="D27" s="524">
        <v>245.748152</v>
      </c>
      <c r="E27" s="525">
        <f t="shared" si="0"/>
        <v>615.31331520000003</v>
      </c>
      <c r="F27" s="525">
        <v>20.519999999999982</v>
      </c>
      <c r="G27" s="525">
        <v>13.680000000000007</v>
      </c>
      <c r="H27" s="525">
        <f t="shared" si="1"/>
        <v>34.199999999999989</v>
      </c>
      <c r="I27" s="524">
        <v>328.38808159066343</v>
      </c>
      <c r="J27" s="524">
        <v>125.43299999999999</v>
      </c>
      <c r="K27" s="525">
        <f t="shared" si="2"/>
        <v>453.82108159066343</v>
      </c>
      <c r="L27" s="524">
        <v>276.22820159999998</v>
      </c>
      <c r="M27" s="300">
        <v>184.15213440000002</v>
      </c>
      <c r="N27" s="525">
        <f t="shared" si="3"/>
        <v>460.380336</v>
      </c>
      <c r="O27" s="524">
        <f t="shared" si="4"/>
        <v>72.679879990663437</v>
      </c>
      <c r="P27" s="524">
        <f t="shared" si="5"/>
        <v>-45.039134400000023</v>
      </c>
      <c r="Q27" s="524">
        <f t="shared" si="6"/>
        <v>27.640745590663414</v>
      </c>
      <c r="R27" s="447">
        <v>579.21699303000003</v>
      </c>
      <c r="S27" s="456">
        <f t="shared" si="7"/>
        <v>347.53019581799998</v>
      </c>
      <c r="T27" s="464">
        <f t="shared" si="8"/>
        <v>231.68679721200004</v>
      </c>
      <c r="U27" s="447">
        <v>609.49137599999995</v>
      </c>
      <c r="V27" s="464">
        <f t="shared" si="9"/>
        <v>365.69482559999994</v>
      </c>
      <c r="W27" s="464">
        <f t="shared" si="10"/>
        <v>243.7965504</v>
      </c>
      <c r="Y27" s="447">
        <v>456.655576</v>
      </c>
      <c r="Z27" s="509">
        <f t="shared" si="11"/>
        <v>273.9933456</v>
      </c>
      <c r="AA27" s="509">
        <f t="shared" si="12"/>
        <v>182.6622304</v>
      </c>
      <c r="AB27" s="447">
        <v>460.380336</v>
      </c>
      <c r="AC27" s="622">
        <f t="shared" si="13"/>
        <v>276.22820159999998</v>
      </c>
      <c r="AD27" s="622">
        <f t="shared" si="14"/>
        <v>184.15213440000002</v>
      </c>
    </row>
    <row r="28" spans="1:30" s="447" customFormat="1" ht="14.25">
      <c r="A28" s="299">
        <v>16</v>
      </c>
      <c r="B28" s="385" t="s">
        <v>904</v>
      </c>
      <c r="C28" s="524">
        <v>313.73381919999997</v>
      </c>
      <c r="D28" s="524">
        <v>208.62951200000001</v>
      </c>
      <c r="E28" s="525">
        <f t="shared" si="0"/>
        <v>522.36333119999995</v>
      </c>
      <c r="F28" s="525">
        <v>16.189999999999998</v>
      </c>
      <c r="G28" s="525">
        <v>10.800000000000011</v>
      </c>
      <c r="H28" s="525">
        <f t="shared" si="1"/>
        <v>26.990000000000009</v>
      </c>
      <c r="I28" s="524">
        <v>258.7298773168414</v>
      </c>
      <c r="J28" s="524">
        <v>121.60400000000001</v>
      </c>
      <c r="K28" s="525">
        <f t="shared" si="2"/>
        <v>380.33387731684138</v>
      </c>
      <c r="L28" s="524">
        <v>407.94199775999994</v>
      </c>
      <c r="M28" s="300">
        <v>271.96133183999996</v>
      </c>
      <c r="N28" s="525">
        <f t="shared" si="3"/>
        <v>679.90332959999989</v>
      </c>
      <c r="O28" s="524">
        <f t="shared" si="4"/>
        <v>-133.02212044315854</v>
      </c>
      <c r="P28" s="524">
        <f t="shared" si="5"/>
        <v>-139.55733183999993</v>
      </c>
      <c r="Q28" s="524">
        <f t="shared" si="6"/>
        <v>-272.5794522831585</v>
      </c>
      <c r="R28" s="447">
        <v>504.56376586200003</v>
      </c>
      <c r="S28" s="456">
        <f t="shared" si="7"/>
        <v>302.73825951720005</v>
      </c>
      <c r="T28" s="464">
        <f t="shared" si="8"/>
        <v>201.82550634479998</v>
      </c>
      <c r="U28" s="447">
        <v>536.52732960000003</v>
      </c>
      <c r="V28" s="464">
        <f t="shared" si="9"/>
        <v>321.91639776000005</v>
      </c>
      <c r="W28" s="464">
        <f t="shared" si="10"/>
        <v>214.61093183999998</v>
      </c>
      <c r="Y28" s="447">
        <v>674.40249359999996</v>
      </c>
      <c r="Z28" s="509">
        <f t="shared" si="11"/>
        <v>404.64149615999997</v>
      </c>
      <c r="AA28" s="509">
        <f t="shared" si="12"/>
        <v>269.76099743999998</v>
      </c>
      <c r="AB28" s="447">
        <v>679.90332959999989</v>
      </c>
      <c r="AC28" s="622">
        <f t="shared" si="13"/>
        <v>407.94199775999994</v>
      </c>
      <c r="AD28" s="622">
        <f t="shared" si="14"/>
        <v>271.96133183999996</v>
      </c>
    </row>
    <row r="29" spans="1:30" s="447" customFormat="1" ht="14.25">
      <c r="A29" s="299">
        <v>17</v>
      </c>
      <c r="B29" s="385" t="s">
        <v>905</v>
      </c>
      <c r="C29" s="524">
        <v>742.31889999999999</v>
      </c>
      <c r="D29" s="524">
        <v>493.63339999999999</v>
      </c>
      <c r="E29" s="525">
        <f t="shared" si="0"/>
        <v>1235.9522999999999</v>
      </c>
      <c r="F29" s="525">
        <v>75.049999999999955</v>
      </c>
      <c r="G29" s="525">
        <v>50.03000000000003</v>
      </c>
      <c r="H29" s="525">
        <f t="shared" si="1"/>
        <v>125.07999999999998</v>
      </c>
      <c r="I29" s="524">
        <v>821.79167456881328</v>
      </c>
      <c r="J29" s="524">
        <v>201.57549999999998</v>
      </c>
      <c r="K29" s="525">
        <f t="shared" si="2"/>
        <v>1023.3671745688132</v>
      </c>
      <c r="L29" s="524">
        <v>696.73853952000002</v>
      </c>
      <c r="M29" s="300">
        <v>464.49235968000005</v>
      </c>
      <c r="N29" s="525">
        <f t="shared" si="3"/>
        <v>1161.2308992000001</v>
      </c>
      <c r="O29" s="524">
        <f t="shared" si="4"/>
        <v>200.10313504881321</v>
      </c>
      <c r="P29" s="524">
        <f t="shared" si="5"/>
        <v>-212.88685968000004</v>
      </c>
      <c r="Q29" s="524">
        <f t="shared" si="6"/>
        <v>-12.783724631186942</v>
      </c>
      <c r="R29" s="447">
        <v>1172.8748252519999</v>
      </c>
      <c r="S29" s="456">
        <f t="shared" si="7"/>
        <v>703.72489515119992</v>
      </c>
      <c r="T29" s="464">
        <f t="shared" si="8"/>
        <v>469.14993010080002</v>
      </c>
      <c r="U29" s="447">
        <v>1205.6774591999999</v>
      </c>
      <c r="V29" s="464">
        <f t="shared" si="9"/>
        <v>723.40647551999996</v>
      </c>
      <c r="W29" s="464">
        <f t="shared" si="10"/>
        <v>482.27098367999997</v>
      </c>
      <c r="Y29" s="447">
        <v>1151.8358272</v>
      </c>
      <c r="Z29" s="509">
        <f t="shared" si="11"/>
        <v>691.10149632000002</v>
      </c>
      <c r="AA29" s="509">
        <f t="shared" si="12"/>
        <v>460.73433088000002</v>
      </c>
      <c r="AB29" s="447">
        <v>1161.2308992000001</v>
      </c>
      <c r="AC29" s="622">
        <f t="shared" si="13"/>
        <v>696.73853952000002</v>
      </c>
      <c r="AD29" s="622">
        <f t="shared" si="14"/>
        <v>464.49235968000005</v>
      </c>
    </row>
    <row r="30" spans="1:30" s="447" customFormat="1" ht="14.25">
      <c r="A30" s="299">
        <v>18</v>
      </c>
      <c r="B30" s="385" t="s">
        <v>906</v>
      </c>
      <c r="C30" s="524">
        <v>221.82421920000002</v>
      </c>
      <c r="D30" s="524">
        <v>147.54511200000002</v>
      </c>
      <c r="E30" s="525">
        <f t="shared" si="0"/>
        <v>369.36933120000003</v>
      </c>
      <c r="F30" s="525">
        <v>129.46</v>
      </c>
      <c r="G30" s="525">
        <v>86.309999999999988</v>
      </c>
      <c r="H30" s="525">
        <f t="shared" si="1"/>
        <v>215.76999999999998</v>
      </c>
      <c r="I30" s="524">
        <v>293.16075386212418</v>
      </c>
      <c r="J30" s="524">
        <v>134.86200000000002</v>
      </c>
      <c r="K30" s="525">
        <f t="shared" si="2"/>
        <v>428.0227538621242</v>
      </c>
      <c r="L30" s="524">
        <v>206.92597824000001</v>
      </c>
      <c r="M30" s="300">
        <v>137.95065216</v>
      </c>
      <c r="N30" s="525">
        <f t="shared" si="3"/>
        <v>344.87663040000001</v>
      </c>
      <c r="O30" s="524">
        <f t="shared" si="4"/>
        <v>215.69477562212415</v>
      </c>
      <c r="P30" s="524">
        <f t="shared" si="5"/>
        <v>83.221347840000021</v>
      </c>
      <c r="Q30" s="524">
        <f t="shared" si="6"/>
        <v>298.91612346212418</v>
      </c>
      <c r="R30" s="447">
        <v>277.87003658700002</v>
      </c>
      <c r="S30" s="456">
        <f t="shared" si="7"/>
        <v>166.72202195220001</v>
      </c>
      <c r="T30" s="464">
        <f t="shared" si="8"/>
        <v>111.14801463480001</v>
      </c>
      <c r="U30" s="447">
        <v>300.43007039999998</v>
      </c>
      <c r="V30" s="464">
        <f t="shared" si="9"/>
        <v>180.25804224000001</v>
      </c>
      <c r="W30" s="464">
        <f t="shared" si="10"/>
        <v>120.17202815999997</v>
      </c>
      <c r="Y30" s="447">
        <v>441.63756640000003</v>
      </c>
      <c r="Z30" s="509">
        <f t="shared" si="11"/>
        <v>264.98253984000002</v>
      </c>
      <c r="AA30" s="509">
        <f t="shared" si="12"/>
        <v>176.65502656000001</v>
      </c>
      <c r="AB30" s="447">
        <v>344.87663040000001</v>
      </c>
      <c r="AC30" s="622">
        <f t="shared" si="13"/>
        <v>206.92597824000001</v>
      </c>
      <c r="AD30" s="622">
        <f t="shared" si="14"/>
        <v>137.95065216</v>
      </c>
    </row>
    <row r="31" spans="1:30" s="447" customFormat="1" ht="14.25">
      <c r="A31" s="299">
        <v>19</v>
      </c>
      <c r="B31" s="385" t="s">
        <v>907</v>
      </c>
      <c r="C31" s="524">
        <v>468.24627279999999</v>
      </c>
      <c r="D31" s="524">
        <v>311.36580800000002</v>
      </c>
      <c r="E31" s="525">
        <f t="shared" si="0"/>
        <v>779.61208080000006</v>
      </c>
      <c r="F31" s="525">
        <v>57.639999999999986</v>
      </c>
      <c r="G31" s="525">
        <v>38.420000000000016</v>
      </c>
      <c r="H31" s="525">
        <f t="shared" si="1"/>
        <v>96.06</v>
      </c>
      <c r="I31" s="524">
        <v>407.74547671398625</v>
      </c>
      <c r="J31" s="524">
        <v>149.226</v>
      </c>
      <c r="K31" s="525">
        <f t="shared" si="2"/>
        <v>556.97147671398625</v>
      </c>
      <c r="L31" s="524">
        <v>387.76899456000001</v>
      </c>
      <c r="M31" s="300">
        <v>258.51266304000001</v>
      </c>
      <c r="N31" s="525">
        <f t="shared" si="3"/>
        <v>646.28165760000002</v>
      </c>
      <c r="O31" s="524">
        <f t="shared" si="4"/>
        <v>77.616482153986226</v>
      </c>
      <c r="P31" s="524">
        <f t="shared" si="5"/>
        <v>-70.866663039999992</v>
      </c>
      <c r="Q31" s="524">
        <f t="shared" si="6"/>
        <v>6.7498191139861774</v>
      </c>
      <c r="R31" s="447">
        <v>764.98445509199985</v>
      </c>
      <c r="S31" s="456">
        <f t="shared" si="7"/>
        <v>458.99067305519986</v>
      </c>
      <c r="T31" s="464">
        <f t="shared" si="8"/>
        <v>305.99378203679998</v>
      </c>
      <c r="U31" s="447">
        <v>746.64485759999991</v>
      </c>
      <c r="V31" s="464">
        <f t="shared" si="9"/>
        <v>447.98691455999995</v>
      </c>
      <c r="W31" s="464">
        <f t="shared" si="10"/>
        <v>298.65794303999996</v>
      </c>
      <c r="Y31" s="447">
        <v>641.05284159999997</v>
      </c>
      <c r="Z31" s="509">
        <f t="shared" si="11"/>
        <v>384.63170495999998</v>
      </c>
      <c r="AA31" s="509">
        <f t="shared" si="12"/>
        <v>256.42113663999999</v>
      </c>
      <c r="AB31" s="447">
        <v>646.28165760000002</v>
      </c>
      <c r="AC31" s="622">
        <f t="shared" si="13"/>
        <v>387.76899456000001</v>
      </c>
      <c r="AD31" s="622">
        <f t="shared" si="14"/>
        <v>258.51266304000001</v>
      </c>
    </row>
    <row r="32" spans="1:30" s="447" customFormat="1" ht="14.25">
      <c r="A32" s="299">
        <v>20</v>
      </c>
      <c r="B32" s="385" t="s">
        <v>908</v>
      </c>
      <c r="C32" s="524">
        <v>353.43209439999998</v>
      </c>
      <c r="D32" s="524">
        <v>235.01878400000001</v>
      </c>
      <c r="E32" s="525">
        <f t="shared" si="0"/>
        <v>588.45087839999997</v>
      </c>
      <c r="F32" s="525">
        <v>83.92999999999995</v>
      </c>
      <c r="G32" s="525">
        <v>55.960000000000008</v>
      </c>
      <c r="H32" s="525">
        <f t="shared" si="1"/>
        <v>139.88999999999996</v>
      </c>
      <c r="I32" s="524">
        <v>367.64353415179846</v>
      </c>
      <c r="J32" s="524">
        <v>136.12200000000001</v>
      </c>
      <c r="K32" s="525">
        <f t="shared" si="2"/>
        <v>503.76553415179848</v>
      </c>
      <c r="L32" s="524">
        <v>347.82730848</v>
      </c>
      <c r="M32" s="300">
        <v>231.88487231999994</v>
      </c>
      <c r="N32" s="525">
        <f t="shared" si="3"/>
        <v>579.71218079999994</v>
      </c>
      <c r="O32" s="524">
        <f t="shared" si="4"/>
        <v>103.74622567179841</v>
      </c>
      <c r="P32" s="524">
        <f t="shared" si="5"/>
        <v>-39.802872319999921</v>
      </c>
      <c r="Q32" s="524">
        <f t="shared" si="6"/>
        <v>63.943353351798464</v>
      </c>
      <c r="R32" s="447">
        <v>570.93040036499985</v>
      </c>
      <c r="S32" s="456">
        <f t="shared" si="7"/>
        <v>342.55824021899991</v>
      </c>
      <c r="T32" s="464">
        <f t="shared" si="8"/>
        <v>228.37216014599994</v>
      </c>
      <c r="U32" s="447">
        <v>594.04978080000001</v>
      </c>
      <c r="V32" s="464">
        <f t="shared" si="9"/>
        <v>356.42986847999998</v>
      </c>
      <c r="W32" s="464">
        <f t="shared" si="10"/>
        <v>237.61991232000003</v>
      </c>
      <c r="Y32" s="447">
        <v>575.02195280000001</v>
      </c>
      <c r="Z32" s="509">
        <f t="shared" si="11"/>
        <v>345.01317168000003</v>
      </c>
      <c r="AA32" s="509">
        <f t="shared" si="12"/>
        <v>230.00878111999998</v>
      </c>
      <c r="AB32" s="447">
        <v>579.71218079999994</v>
      </c>
      <c r="AC32" s="622">
        <f t="shared" si="13"/>
        <v>347.82730848</v>
      </c>
      <c r="AD32" s="622">
        <f t="shared" si="14"/>
        <v>231.88487231999994</v>
      </c>
    </row>
    <row r="33" spans="1:30" s="447" customFormat="1" ht="14.25">
      <c r="A33" s="299">
        <v>21</v>
      </c>
      <c r="B33" s="385" t="s">
        <v>909</v>
      </c>
      <c r="C33" s="524">
        <v>294.63008000000002</v>
      </c>
      <c r="D33" s="524">
        <v>195.9256</v>
      </c>
      <c r="E33" s="525">
        <f t="shared" si="0"/>
        <v>490.55568000000005</v>
      </c>
      <c r="F33" s="525">
        <v>13.340000000000032</v>
      </c>
      <c r="G33" s="525">
        <v>8.9000000000000057</v>
      </c>
      <c r="H33" s="525">
        <f t="shared" si="1"/>
        <v>22.240000000000038</v>
      </c>
      <c r="I33" s="524">
        <v>353.97042718898126</v>
      </c>
      <c r="J33" s="524">
        <v>127.16200000000001</v>
      </c>
      <c r="K33" s="525">
        <f t="shared" si="2"/>
        <v>481.1324271889813</v>
      </c>
      <c r="L33" s="524">
        <v>278.26700832</v>
      </c>
      <c r="M33" s="300">
        <v>185.51133887999998</v>
      </c>
      <c r="N33" s="525">
        <f t="shared" si="3"/>
        <v>463.77834719999998</v>
      </c>
      <c r="O33" s="524">
        <f t="shared" si="4"/>
        <v>89.043418868981291</v>
      </c>
      <c r="P33" s="524">
        <f t="shared" si="5"/>
        <v>-49.449338879999971</v>
      </c>
      <c r="Q33" s="524">
        <f t="shared" si="6"/>
        <v>39.594079988981321</v>
      </c>
      <c r="R33" s="447">
        <v>443.9291311259999</v>
      </c>
      <c r="S33" s="456">
        <f t="shared" si="7"/>
        <v>266.35747867559991</v>
      </c>
      <c r="T33" s="464">
        <f t="shared" si="8"/>
        <v>177.57165245039999</v>
      </c>
      <c r="U33" s="447">
        <v>435.10314719999997</v>
      </c>
      <c r="V33" s="464">
        <f t="shared" si="9"/>
        <v>261.06188831999998</v>
      </c>
      <c r="W33" s="464">
        <f t="shared" si="10"/>
        <v>174.04125887999999</v>
      </c>
      <c r="Y33" s="447">
        <v>460.02609519999999</v>
      </c>
      <c r="Z33" s="509">
        <f t="shared" si="11"/>
        <v>276.01565712000001</v>
      </c>
      <c r="AA33" s="509">
        <f t="shared" si="12"/>
        <v>184.01043807999997</v>
      </c>
      <c r="AB33" s="447">
        <v>463.77834719999998</v>
      </c>
      <c r="AC33" s="622">
        <f t="shared" si="13"/>
        <v>278.26700832</v>
      </c>
      <c r="AD33" s="622">
        <f t="shared" si="14"/>
        <v>185.51133887999998</v>
      </c>
    </row>
    <row r="34" spans="1:30" s="447" customFormat="1" ht="14.25">
      <c r="A34" s="299">
        <v>22</v>
      </c>
      <c r="B34" s="385" t="s">
        <v>910</v>
      </c>
      <c r="C34" s="524">
        <v>671.42827039999997</v>
      </c>
      <c r="D34" s="524">
        <v>446.49654400000003</v>
      </c>
      <c r="E34" s="525">
        <f t="shared" si="0"/>
        <v>1117.9248144000001</v>
      </c>
      <c r="F34" s="525">
        <v>105.51999999999998</v>
      </c>
      <c r="G34" s="525">
        <v>70.350000000000023</v>
      </c>
      <c r="H34" s="525">
        <f t="shared" si="1"/>
        <v>175.87</v>
      </c>
      <c r="I34" s="524">
        <v>490.00512326948979</v>
      </c>
      <c r="J34" s="524">
        <v>173.65950000000004</v>
      </c>
      <c r="K34" s="525">
        <f t="shared" si="2"/>
        <v>663.66462326948977</v>
      </c>
      <c r="L34" s="524">
        <v>566.02264031999994</v>
      </c>
      <c r="M34" s="300">
        <v>377.34842688000003</v>
      </c>
      <c r="N34" s="525">
        <f t="shared" si="3"/>
        <v>943.37106719999997</v>
      </c>
      <c r="O34" s="524">
        <f t="shared" si="4"/>
        <v>29.502482949489831</v>
      </c>
      <c r="P34" s="524">
        <f t="shared" si="5"/>
        <v>-133.33892687999997</v>
      </c>
      <c r="Q34" s="524">
        <f t="shared" si="6"/>
        <v>-103.8364439305102</v>
      </c>
      <c r="R34" s="447">
        <v>986.74845344400001</v>
      </c>
      <c r="S34" s="456">
        <f t="shared" si="7"/>
        <v>592.04907206639996</v>
      </c>
      <c r="T34" s="464">
        <f t="shared" si="8"/>
        <v>394.69938137760005</v>
      </c>
      <c r="U34" s="447">
        <v>1115.4222672000001</v>
      </c>
      <c r="V34" s="464">
        <f t="shared" si="9"/>
        <v>669.25336032000007</v>
      </c>
      <c r="W34" s="464">
        <f t="shared" si="10"/>
        <v>446.16890688000001</v>
      </c>
      <c r="Y34" s="447">
        <v>935.73861519999991</v>
      </c>
      <c r="Z34" s="509">
        <f t="shared" si="11"/>
        <v>561.44316911999999</v>
      </c>
      <c r="AA34" s="509">
        <f t="shared" si="12"/>
        <v>374.29544607999992</v>
      </c>
      <c r="AB34" s="447">
        <v>943.37106719999997</v>
      </c>
      <c r="AC34" s="622">
        <f t="shared" si="13"/>
        <v>566.02264031999994</v>
      </c>
      <c r="AD34" s="622">
        <f t="shared" si="14"/>
        <v>377.34842688000003</v>
      </c>
    </row>
    <row r="35" spans="1:30" s="447" customFormat="1" ht="14.25">
      <c r="A35" s="299">
        <v>23</v>
      </c>
      <c r="B35" s="385" t="s">
        <v>911</v>
      </c>
      <c r="C35" s="524">
        <v>288.4550888</v>
      </c>
      <c r="D35" s="524">
        <v>191.81156799999999</v>
      </c>
      <c r="E35" s="525">
        <f t="shared" si="0"/>
        <v>480.26665679999996</v>
      </c>
      <c r="F35" s="525">
        <v>35.569999999999993</v>
      </c>
      <c r="G35" s="525">
        <v>23.710000000000008</v>
      </c>
      <c r="H35" s="525">
        <f t="shared" si="1"/>
        <v>59.28</v>
      </c>
      <c r="I35" s="524">
        <v>227.03445614441875</v>
      </c>
      <c r="J35" s="524">
        <v>112.57749999999999</v>
      </c>
      <c r="K35" s="525">
        <f t="shared" si="2"/>
        <v>339.61195614441874</v>
      </c>
      <c r="L35" s="524">
        <v>266.34386016000002</v>
      </c>
      <c r="M35" s="300">
        <v>177.56257343999999</v>
      </c>
      <c r="N35" s="525">
        <f t="shared" si="3"/>
        <v>443.90643360000001</v>
      </c>
      <c r="O35" s="524">
        <f t="shared" si="4"/>
        <v>-3.7394040155812718</v>
      </c>
      <c r="P35" s="524">
        <f t="shared" si="5"/>
        <v>-41.27507344</v>
      </c>
      <c r="Q35" s="524">
        <f t="shared" si="6"/>
        <v>-45.0144774555813</v>
      </c>
      <c r="R35" s="447">
        <v>442.13458239599993</v>
      </c>
      <c r="S35" s="456">
        <f t="shared" si="7"/>
        <v>265.28074943759998</v>
      </c>
      <c r="T35" s="464">
        <f t="shared" si="8"/>
        <v>176.85383295839995</v>
      </c>
      <c r="U35" s="447">
        <v>501.25683359999999</v>
      </c>
      <c r="V35" s="464">
        <f t="shared" si="9"/>
        <v>300.75410016000001</v>
      </c>
      <c r="W35" s="464">
        <f t="shared" si="10"/>
        <v>200.50273343999999</v>
      </c>
      <c r="Y35" s="447">
        <v>440.31495759999996</v>
      </c>
      <c r="Z35" s="509">
        <f t="shared" si="11"/>
        <v>264.18897455999996</v>
      </c>
      <c r="AA35" s="509">
        <f t="shared" si="12"/>
        <v>176.12598303999999</v>
      </c>
      <c r="AB35" s="447">
        <v>443.90643360000001</v>
      </c>
      <c r="AC35" s="622">
        <f t="shared" si="13"/>
        <v>266.34386016000002</v>
      </c>
      <c r="AD35" s="622">
        <f t="shared" si="14"/>
        <v>177.56257343999999</v>
      </c>
    </row>
    <row r="36" spans="1:30" s="447" customFormat="1" ht="14.25">
      <c r="A36" s="299">
        <v>24</v>
      </c>
      <c r="B36" s="385" t="s">
        <v>912</v>
      </c>
      <c r="C36" s="524">
        <v>297.8256384</v>
      </c>
      <c r="D36" s="524">
        <v>198.04262400000002</v>
      </c>
      <c r="E36" s="525">
        <f t="shared" si="0"/>
        <v>495.86826240000005</v>
      </c>
      <c r="F36" s="525">
        <v>26.950000000000045</v>
      </c>
      <c r="G36" s="525">
        <v>17.95999999999998</v>
      </c>
      <c r="H36" s="525">
        <f t="shared" si="1"/>
        <v>44.910000000000025</v>
      </c>
      <c r="I36" s="524">
        <v>267.38242289410459</v>
      </c>
      <c r="J36" s="524">
        <v>113.28450000000004</v>
      </c>
      <c r="K36" s="525">
        <f t="shared" si="2"/>
        <v>380.66692289410463</v>
      </c>
      <c r="L36" s="524">
        <v>260.27905535999997</v>
      </c>
      <c r="M36" s="300">
        <v>173.51937024</v>
      </c>
      <c r="N36" s="525">
        <f t="shared" si="3"/>
        <v>433.79842559999997</v>
      </c>
      <c r="O36" s="524">
        <f t="shared" si="4"/>
        <v>34.053367534104666</v>
      </c>
      <c r="P36" s="524">
        <f t="shared" si="5"/>
        <v>-42.274870239999984</v>
      </c>
      <c r="Q36" s="524">
        <f t="shared" si="6"/>
        <v>-8.2215027058953183</v>
      </c>
      <c r="R36" s="447">
        <v>478.89116285399996</v>
      </c>
      <c r="S36" s="456">
        <f t="shared" si="7"/>
        <v>287.33469771239999</v>
      </c>
      <c r="T36" s="464">
        <f t="shared" si="8"/>
        <v>191.55646514159997</v>
      </c>
      <c r="U36" s="447">
        <v>433.79842559999997</v>
      </c>
      <c r="V36" s="464">
        <f t="shared" si="9"/>
        <v>260.27905535999997</v>
      </c>
      <c r="W36" s="464">
        <f t="shared" si="10"/>
        <v>173.51937024</v>
      </c>
      <c r="Y36" s="447">
        <v>430.28872960000001</v>
      </c>
      <c r="Z36" s="509">
        <f t="shared" si="11"/>
        <v>258.17323776000001</v>
      </c>
      <c r="AA36" s="509">
        <f t="shared" si="12"/>
        <v>172.11549184</v>
      </c>
      <c r="AB36" s="447">
        <v>433.79842559999997</v>
      </c>
      <c r="AC36" s="622">
        <f t="shared" si="13"/>
        <v>260.27905535999997</v>
      </c>
      <c r="AD36" s="622">
        <f t="shared" si="14"/>
        <v>173.51937024</v>
      </c>
    </row>
    <row r="37" spans="1:30" s="447" customFormat="1" ht="14.25">
      <c r="A37" s="299">
        <v>25</v>
      </c>
      <c r="B37" s="385" t="s">
        <v>913</v>
      </c>
      <c r="C37" s="524">
        <v>766.11969600000009</v>
      </c>
      <c r="D37" s="524">
        <v>509.44296000000003</v>
      </c>
      <c r="E37" s="525">
        <f t="shared" si="0"/>
        <v>1275.5626560000001</v>
      </c>
      <c r="F37" s="525">
        <v>25.779999999999973</v>
      </c>
      <c r="G37" s="525">
        <v>17.189999999999941</v>
      </c>
      <c r="H37" s="525">
        <f t="shared" si="1"/>
        <v>42.969999999999914</v>
      </c>
      <c r="I37" s="524">
        <v>461.13689530255363</v>
      </c>
      <c r="J37" s="524">
        <v>150.024</v>
      </c>
      <c r="K37" s="525">
        <f t="shared" si="2"/>
        <v>611.16089530255363</v>
      </c>
      <c r="L37" s="524">
        <v>688.12737695999999</v>
      </c>
      <c r="M37" s="300">
        <v>458.75158463999992</v>
      </c>
      <c r="N37" s="525">
        <f t="shared" si="3"/>
        <v>1146.8789615999999</v>
      </c>
      <c r="O37" s="524">
        <f t="shared" si="4"/>
        <v>-201.21048165744639</v>
      </c>
      <c r="P37" s="524">
        <f t="shared" si="5"/>
        <v>-291.53758463999998</v>
      </c>
      <c r="Q37" s="524">
        <f t="shared" si="6"/>
        <v>-492.74806629744637</v>
      </c>
      <c r="R37" s="447">
        <v>1194.3566291669999</v>
      </c>
      <c r="S37" s="456">
        <f t="shared" si="7"/>
        <v>716.61397750020001</v>
      </c>
      <c r="T37" s="464">
        <f t="shared" si="8"/>
        <v>477.74265166679993</v>
      </c>
      <c r="U37" s="447">
        <v>1132.3979855999999</v>
      </c>
      <c r="V37" s="464">
        <f t="shared" si="9"/>
        <v>679.43879135999987</v>
      </c>
      <c r="W37" s="464">
        <f t="shared" si="10"/>
        <v>452.95919423999999</v>
      </c>
      <c r="Y37" s="447">
        <v>1137.6000056</v>
      </c>
      <c r="Z37" s="509">
        <f t="shared" si="11"/>
        <v>682.56000336</v>
      </c>
      <c r="AA37" s="509">
        <f t="shared" si="12"/>
        <v>455.04000224000004</v>
      </c>
      <c r="AB37" s="447">
        <v>1146.8789615999999</v>
      </c>
      <c r="AC37" s="622">
        <f t="shared" si="13"/>
        <v>688.12737695999999</v>
      </c>
      <c r="AD37" s="622">
        <f t="shared" si="14"/>
        <v>458.75158463999992</v>
      </c>
    </row>
    <row r="38" spans="1:30" s="447" customFormat="1" ht="14.25">
      <c r="A38" s="299">
        <v>26</v>
      </c>
      <c r="B38" s="385" t="s">
        <v>914</v>
      </c>
      <c r="C38" s="524">
        <v>550.26806320000003</v>
      </c>
      <c r="D38" s="524">
        <v>365.90715200000005</v>
      </c>
      <c r="E38" s="525">
        <f t="shared" si="0"/>
        <v>916.17521520000014</v>
      </c>
      <c r="F38" s="525">
        <v>10.480000000000018</v>
      </c>
      <c r="G38" s="525">
        <v>6.9799999999999613</v>
      </c>
      <c r="H38" s="525">
        <f t="shared" si="1"/>
        <v>17.45999999999998</v>
      </c>
      <c r="I38" s="524">
        <v>328.03780986608996</v>
      </c>
      <c r="J38" s="524">
        <v>120.67649999999998</v>
      </c>
      <c r="K38" s="525">
        <f t="shared" si="2"/>
        <v>448.71430986608993</v>
      </c>
      <c r="L38" s="524">
        <v>502.01099135999999</v>
      </c>
      <c r="M38" s="300">
        <v>334.67399424000001</v>
      </c>
      <c r="N38" s="525">
        <f t="shared" si="3"/>
        <v>836.6849856</v>
      </c>
      <c r="O38" s="524">
        <f t="shared" si="4"/>
        <v>-163.49318149391001</v>
      </c>
      <c r="P38" s="524">
        <f t="shared" si="5"/>
        <v>-207.01749424000008</v>
      </c>
      <c r="Q38" s="524">
        <f t="shared" si="6"/>
        <v>-370.51067573391009</v>
      </c>
      <c r="R38" s="447">
        <v>862.92459107399986</v>
      </c>
      <c r="S38" s="456">
        <f t="shared" si="7"/>
        <v>517.7547546443999</v>
      </c>
      <c r="T38" s="464">
        <f t="shared" si="8"/>
        <v>345.16983642959997</v>
      </c>
      <c r="U38" s="447">
        <v>865.36018560000002</v>
      </c>
      <c r="V38" s="464">
        <f t="shared" si="9"/>
        <v>519.21611136000001</v>
      </c>
      <c r="W38" s="464">
        <f t="shared" si="10"/>
        <v>346.14407424000001</v>
      </c>
      <c r="Y38" s="447">
        <v>829.91568959999995</v>
      </c>
      <c r="Z38" s="509">
        <f t="shared" si="11"/>
        <v>497.94941375999997</v>
      </c>
      <c r="AA38" s="509">
        <f t="shared" si="12"/>
        <v>331.96627583999998</v>
      </c>
      <c r="AB38" s="447">
        <v>836.6849856</v>
      </c>
      <c r="AC38" s="622">
        <f t="shared" si="13"/>
        <v>502.01099135999999</v>
      </c>
      <c r="AD38" s="622">
        <f t="shared" si="14"/>
        <v>334.67399424000001</v>
      </c>
    </row>
    <row r="39" spans="1:30" s="447" customFormat="1" ht="14.25">
      <c r="A39" s="299">
        <v>27</v>
      </c>
      <c r="B39" s="385" t="s">
        <v>915</v>
      </c>
      <c r="C39" s="524">
        <v>307.87652800000001</v>
      </c>
      <c r="D39" s="524">
        <v>204.72608</v>
      </c>
      <c r="E39" s="525">
        <f t="shared" si="0"/>
        <v>512.60260800000003</v>
      </c>
      <c r="F39" s="525">
        <v>12.919999999999959</v>
      </c>
      <c r="G39" s="525">
        <v>8.6200000000000045</v>
      </c>
      <c r="H39" s="525">
        <f t="shared" si="1"/>
        <v>21.539999999999964</v>
      </c>
      <c r="I39" s="524">
        <v>292.31426386107142</v>
      </c>
      <c r="J39" s="524">
        <v>100.96449999999999</v>
      </c>
      <c r="K39" s="525">
        <f t="shared" si="2"/>
        <v>393.27876386107141</v>
      </c>
      <c r="L39" s="524">
        <v>301.45090751999999</v>
      </c>
      <c r="M39" s="300">
        <v>200.96727167999995</v>
      </c>
      <c r="N39" s="525">
        <f t="shared" si="3"/>
        <v>502.41817919999994</v>
      </c>
      <c r="O39" s="524">
        <f t="shared" si="4"/>
        <v>3.7833563410713964</v>
      </c>
      <c r="P39" s="524">
        <f t="shared" si="5"/>
        <v>-91.382771679999962</v>
      </c>
      <c r="Q39" s="524">
        <f t="shared" si="6"/>
        <v>-87.599415338928566</v>
      </c>
      <c r="R39" s="447">
        <v>473.96143193099999</v>
      </c>
      <c r="S39" s="456">
        <f t="shared" si="7"/>
        <v>284.37685915859998</v>
      </c>
      <c r="T39" s="464">
        <f t="shared" si="8"/>
        <v>189.58457277240001</v>
      </c>
      <c r="U39" s="447">
        <v>488.08057919999993</v>
      </c>
      <c r="V39" s="464">
        <f t="shared" si="9"/>
        <v>292.84834751999995</v>
      </c>
      <c r="W39" s="464">
        <f t="shared" si="10"/>
        <v>195.23223167999998</v>
      </c>
      <c r="Y39" s="447">
        <v>498.35330719999996</v>
      </c>
      <c r="Z39" s="509">
        <f t="shared" si="11"/>
        <v>299.01198431999995</v>
      </c>
      <c r="AA39" s="509">
        <f t="shared" si="12"/>
        <v>199.34132288000001</v>
      </c>
      <c r="AB39" s="447">
        <v>502.41817919999994</v>
      </c>
      <c r="AC39" s="622">
        <f t="shared" si="13"/>
        <v>301.45090751999999</v>
      </c>
      <c r="AD39" s="622">
        <f t="shared" si="14"/>
        <v>200.96727167999995</v>
      </c>
    </row>
    <row r="40" spans="1:30" s="447" customFormat="1" ht="14.25">
      <c r="A40" s="299">
        <v>28</v>
      </c>
      <c r="B40" s="385" t="s">
        <v>916</v>
      </c>
      <c r="C40" s="524">
        <v>365.95035039999999</v>
      </c>
      <c r="D40" s="524">
        <v>243.34294400000002</v>
      </c>
      <c r="E40" s="525">
        <f t="shared" si="0"/>
        <v>609.29329440000004</v>
      </c>
      <c r="F40" s="525">
        <v>10.529999999999973</v>
      </c>
      <c r="G40" s="525">
        <v>7.0199999999999818</v>
      </c>
      <c r="H40" s="525">
        <f t="shared" si="1"/>
        <v>17.549999999999955</v>
      </c>
      <c r="I40" s="524">
        <v>314.89845029309902</v>
      </c>
      <c r="J40" s="524">
        <v>125.8775</v>
      </c>
      <c r="K40" s="525">
        <f t="shared" si="2"/>
        <v>440.77595029309902</v>
      </c>
      <c r="L40" s="524">
        <v>363.50117280000001</v>
      </c>
      <c r="M40" s="300">
        <v>242.33411519999999</v>
      </c>
      <c r="N40" s="525">
        <f t="shared" si="3"/>
        <v>605.83528799999999</v>
      </c>
      <c r="O40" s="524">
        <f t="shared" si="4"/>
        <v>-38.072722506901016</v>
      </c>
      <c r="P40" s="524">
        <f t="shared" si="5"/>
        <v>-109.43661520000001</v>
      </c>
      <c r="Q40" s="524">
        <f t="shared" si="6"/>
        <v>-147.50933770690102</v>
      </c>
      <c r="R40" s="447">
        <v>597.78529430099991</v>
      </c>
      <c r="S40" s="456">
        <f t="shared" si="7"/>
        <v>358.67117658059993</v>
      </c>
      <c r="T40" s="464">
        <f t="shared" si="8"/>
        <v>239.11411772039997</v>
      </c>
      <c r="U40" s="447">
        <v>648.84808799999996</v>
      </c>
      <c r="V40" s="464">
        <f t="shared" si="9"/>
        <v>389.30885279999995</v>
      </c>
      <c r="W40" s="464">
        <f t="shared" si="10"/>
        <v>259.53923520000001</v>
      </c>
      <c r="Y40" s="447">
        <v>600.93370800000002</v>
      </c>
      <c r="Z40" s="509">
        <f t="shared" si="11"/>
        <v>360.56022480000001</v>
      </c>
      <c r="AA40" s="509">
        <f t="shared" si="12"/>
        <v>240.37348320000001</v>
      </c>
      <c r="AB40" s="447">
        <v>605.83528799999999</v>
      </c>
      <c r="AC40" s="622">
        <f t="shared" si="13"/>
        <v>363.50117280000001</v>
      </c>
      <c r="AD40" s="622">
        <f t="shared" si="14"/>
        <v>242.33411519999999</v>
      </c>
    </row>
    <row r="41" spans="1:30" s="447" customFormat="1" ht="14.25">
      <c r="A41" s="299">
        <v>29</v>
      </c>
      <c r="B41" s="385" t="s">
        <v>917</v>
      </c>
      <c r="C41" s="524">
        <v>300.26049040000004</v>
      </c>
      <c r="D41" s="524">
        <v>199.69414400000002</v>
      </c>
      <c r="E41" s="525">
        <f t="shared" si="0"/>
        <v>499.95463440000003</v>
      </c>
      <c r="F41" s="525">
        <v>51.109999999999985</v>
      </c>
      <c r="G41" s="525">
        <v>34.079999999999984</v>
      </c>
      <c r="H41" s="525">
        <f t="shared" si="1"/>
        <v>85.189999999999969</v>
      </c>
      <c r="I41" s="524">
        <v>315.76578980156683</v>
      </c>
      <c r="J41" s="524">
        <v>125.727</v>
      </c>
      <c r="K41" s="525">
        <f t="shared" si="2"/>
        <v>441.4927898015668</v>
      </c>
      <c r="L41" s="524">
        <v>250.80763680000001</v>
      </c>
      <c r="M41" s="300">
        <v>167.20509119999997</v>
      </c>
      <c r="N41" s="525">
        <f t="shared" si="3"/>
        <v>418.01272799999998</v>
      </c>
      <c r="O41" s="524">
        <f t="shared" si="4"/>
        <v>116.06815300156683</v>
      </c>
      <c r="P41" s="524">
        <f t="shared" si="5"/>
        <v>-7.3980911999999819</v>
      </c>
      <c r="Q41" s="524">
        <f t="shared" si="6"/>
        <v>108.67006180156676</v>
      </c>
      <c r="R41" s="447">
        <v>389.14261401599992</v>
      </c>
      <c r="S41" s="456">
        <f t="shared" si="7"/>
        <v>233.48556840959995</v>
      </c>
      <c r="T41" s="464">
        <f t="shared" si="8"/>
        <v>155.65704560639998</v>
      </c>
      <c r="U41" s="447">
        <v>403.67512799999997</v>
      </c>
      <c r="V41" s="464">
        <f t="shared" si="9"/>
        <v>242.2050768</v>
      </c>
      <c r="W41" s="464">
        <f t="shared" si="10"/>
        <v>161.47005119999997</v>
      </c>
      <c r="Y41" s="447">
        <v>414.63074799999998</v>
      </c>
      <c r="Z41" s="509">
        <f t="shared" si="11"/>
        <v>248.77844880000001</v>
      </c>
      <c r="AA41" s="509">
        <f t="shared" si="12"/>
        <v>165.85229919999998</v>
      </c>
      <c r="AB41" s="447">
        <v>418.01272799999998</v>
      </c>
      <c r="AC41" s="622">
        <f t="shared" si="13"/>
        <v>250.80763680000001</v>
      </c>
      <c r="AD41" s="622">
        <f t="shared" si="14"/>
        <v>167.20509119999997</v>
      </c>
    </row>
    <row r="42" spans="1:30" s="447" customFormat="1" ht="14.25">
      <c r="A42" s="299">
        <v>30</v>
      </c>
      <c r="B42" s="385" t="s">
        <v>918</v>
      </c>
      <c r="C42" s="524">
        <v>418.33653040000002</v>
      </c>
      <c r="D42" s="524">
        <v>278.17774400000002</v>
      </c>
      <c r="E42" s="525">
        <f t="shared" si="0"/>
        <v>696.51427439999998</v>
      </c>
      <c r="F42" s="525">
        <v>12.599999999999966</v>
      </c>
      <c r="G42" s="525">
        <v>8.3999999999999773</v>
      </c>
      <c r="H42" s="525">
        <f t="shared" si="1"/>
        <v>20.999999999999943</v>
      </c>
      <c r="I42" s="524">
        <v>536.25350061764675</v>
      </c>
      <c r="J42" s="524">
        <v>132.41200000000003</v>
      </c>
      <c r="K42" s="525">
        <f t="shared" si="2"/>
        <v>668.66550061764679</v>
      </c>
      <c r="L42" s="524">
        <v>407.03012639999992</v>
      </c>
      <c r="M42" s="300">
        <v>271.3534176</v>
      </c>
      <c r="N42" s="525">
        <f t="shared" si="3"/>
        <v>678.38354399999992</v>
      </c>
      <c r="O42" s="524">
        <f t="shared" si="4"/>
        <v>141.82337421764674</v>
      </c>
      <c r="P42" s="524">
        <f t="shared" si="5"/>
        <v>-130.54141759999999</v>
      </c>
      <c r="Q42" s="524">
        <f t="shared" si="6"/>
        <v>11.28195661764687</v>
      </c>
      <c r="R42" s="447">
        <v>666.41094897000005</v>
      </c>
      <c r="S42" s="456">
        <f t="shared" si="7"/>
        <v>399.84656938200004</v>
      </c>
      <c r="T42" s="464">
        <f t="shared" si="8"/>
        <v>266.56437958800001</v>
      </c>
      <c r="U42" s="447">
        <v>678.38354399999992</v>
      </c>
      <c r="V42" s="464">
        <f t="shared" si="9"/>
        <v>407.03012639999992</v>
      </c>
      <c r="W42" s="464">
        <f t="shared" si="10"/>
        <v>271.3534176</v>
      </c>
      <c r="Y42" s="447">
        <v>672.89500400000009</v>
      </c>
      <c r="Z42" s="509">
        <f t="shared" si="11"/>
        <v>403.73700240000005</v>
      </c>
      <c r="AA42" s="509">
        <f t="shared" si="12"/>
        <v>269.15800160000003</v>
      </c>
      <c r="AB42" s="447">
        <v>678.38354399999992</v>
      </c>
      <c r="AC42" s="622">
        <f t="shared" si="13"/>
        <v>407.03012639999992</v>
      </c>
      <c r="AD42" s="622">
        <f t="shared" si="14"/>
        <v>271.3534176</v>
      </c>
    </row>
    <row r="43" spans="1:30" s="447" customFormat="1" ht="14.25">
      <c r="A43" s="299">
        <v>31</v>
      </c>
      <c r="B43" s="385" t="s">
        <v>919</v>
      </c>
      <c r="C43" s="524">
        <v>252.0160784</v>
      </c>
      <c r="D43" s="524">
        <v>167.58102400000001</v>
      </c>
      <c r="E43" s="525">
        <f t="shared" si="0"/>
        <v>419.59710240000004</v>
      </c>
      <c r="F43" s="525">
        <v>46.5</v>
      </c>
      <c r="G43" s="525">
        <v>31</v>
      </c>
      <c r="H43" s="525">
        <f t="shared" si="1"/>
        <v>77.5</v>
      </c>
      <c r="I43" s="524">
        <v>288.38204676258516</v>
      </c>
      <c r="J43" s="524">
        <v>111.85650000000001</v>
      </c>
      <c r="K43" s="525">
        <f t="shared" si="2"/>
        <v>400.2385467625852</v>
      </c>
      <c r="L43" s="524">
        <v>221.63635583999999</v>
      </c>
      <c r="M43" s="300">
        <v>147.75757056</v>
      </c>
      <c r="N43" s="525">
        <f t="shared" si="3"/>
        <v>369.3939264</v>
      </c>
      <c r="O43" s="524">
        <f t="shared" si="4"/>
        <v>113.24569092258517</v>
      </c>
      <c r="P43" s="524">
        <f t="shared" si="5"/>
        <v>-4.9010705599999937</v>
      </c>
      <c r="Q43" s="524">
        <f t="shared" si="6"/>
        <v>108.3446203625852</v>
      </c>
      <c r="R43" s="447">
        <v>408.35484159599991</v>
      </c>
      <c r="S43" s="456">
        <f t="shared" si="7"/>
        <v>245.01290495759997</v>
      </c>
      <c r="T43" s="464">
        <f t="shared" si="8"/>
        <v>163.34193663839994</v>
      </c>
      <c r="U43" s="447">
        <v>426.74432640000003</v>
      </c>
      <c r="V43" s="464">
        <f t="shared" si="9"/>
        <v>256.04659584000001</v>
      </c>
      <c r="W43" s="464">
        <f t="shared" si="10"/>
        <v>170.69773056000002</v>
      </c>
      <c r="Y43" s="447">
        <v>366.40530240000004</v>
      </c>
      <c r="Z43" s="509">
        <f t="shared" si="11"/>
        <v>219.84318144</v>
      </c>
      <c r="AA43" s="509">
        <f t="shared" si="12"/>
        <v>146.56212096000004</v>
      </c>
      <c r="AB43" s="447">
        <v>369.3939264</v>
      </c>
      <c r="AC43" s="622">
        <f t="shared" si="13"/>
        <v>221.63635583999999</v>
      </c>
      <c r="AD43" s="622">
        <f t="shared" si="14"/>
        <v>147.75757056</v>
      </c>
    </row>
    <row r="44" spans="1:30" s="447" customFormat="1" ht="14.25">
      <c r="A44" s="299">
        <v>32</v>
      </c>
      <c r="B44" s="385" t="s">
        <v>920</v>
      </c>
      <c r="C44" s="524">
        <v>282.76744639999998</v>
      </c>
      <c r="D44" s="524">
        <v>188.02950400000003</v>
      </c>
      <c r="E44" s="525">
        <f t="shared" si="0"/>
        <v>470.79695040000001</v>
      </c>
      <c r="F44" s="525">
        <v>26.28000000000003</v>
      </c>
      <c r="G44" s="525">
        <v>17.52000000000001</v>
      </c>
      <c r="H44" s="525">
        <f t="shared" si="1"/>
        <v>43.80000000000004</v>
      </c>
      <c r="I44" s="524">
        <v>254.98530578509093</v>
      </c>
      <c r="J44" s="524">
        <v>104.74449999999999</v>
      </c>
      <c r="K44" s="525">
        <f t="shared" si="2"/>
        <v>359.72980578509089</v>
      </c>
      <c r="L44" s="524">
        <v>272.35704960000004</v>
      </c>
      <c r="M44" s="300">
        <v>181.57136639999999</v>
      </c>
      <c r="N44" s="525">
        <f t="shared" si="3"/>
        <v>453.92841600000003</v>
      </c>
      <c r="O44" s="524">
        <f t="shared" si="4"/>
        <v>8.9082561850909201</v>
      </c>
      <c r="P44" s="524">
        <f t="shared" si="5"/>
        <v>-59.30686639999999</v>
      </c>
      <c r="Q44" s="524">
        <f t="shared" si="6"/>
        <v>-50.39861021490907</v>
      </c>
      <c r="R44" s="447">
        <v>425.07581329199996</v>
      </c>
      <c r="S44" s="456">
        <f t="shared" si="7"/>
        <v>255.04548797519999</v>
      </c>
      <c r="T44" s="464">
        <f t="shared" si="8"/>
        <v>170.03032531679997</v>
      </c>
      <c r="U44" s="447">
        <v>453.92841600000003</v>
      </c>
      <c r="V44" s="464">
        <f t="shared" si="9"/>
        <v>272.35704960000004</v>
      </c>
      <c r="W44" s="464">
        <f t="shared" si="10"/>
        <v>181.57136639999999</v>
      </c>
      <c r="Y44" s="447">
        <v>450.25585599999999</v>
      </c>
      <c r="Z44" s="509">
        <f t="shared" si="11"/>
        <v>270.1535136</v>
      </c>
      <c r="AA44" s="509">
        <f t="shared" si="12"/>
        <v>180.1023424</v>
      </c>
      <c r="AB44" s="447">
        <v>453.92841600000003</v>
      </c>
      <c r="AC44" s="622">
        <f t="shared" si="13"/>
        <v>272.35704960000004</v>
      </c>
      <c r="AD44" s="622">
        <f t="shared" si="14"/>
        <v>181.57136639999999</v>
      </c>
    </row>
    <row r="45" spans="1:30" s="447" customFormat="1" ht="14.25">
      <c r="A45" s="299">
        <v>33</v>
      </c>
      <c r="B45" s="385" t="s">
        <v>921</v>
      </c>
      <c r="C45" s="524">
        <v>865.528548</v>
      </c>
      <c r="D45" s="524">
        <v>575.54327999999998</v>
      </c>
      <c r="E45" s="525">
        <f t="shared" si="0"/>
        <v>1441.0718280000001</v>
      </c>
      <c r="F45" s="525">
        <v>9.4100000000000819</v>
      </c>
      <c r="G45" s="525">
        <v>6.25</v>
      </c>
      <c r="H45" s="525">
        <f t="shared" si="1"/>
        <v>15.660000000000082</v>
      </c>
      <c r="I45" s="524">
        <v>659.94528830842103</v>
      </c>
      <c r="J45" s="524">
        <v>228.17200000000003</v>
      </c>
      <c r="K45" s="525">
        <f t="shared" si="2"/>
        <v>888.11728830842105</v>
      </c>
      <c r="L45" s="524">
        <v>688.97903039999994</v>
      </c>
      <c r="M45" s="300">
        <v>459.3193536</v>
      </c>
      <c r="N45" s="525">
        <f t="shared" si="3"/>
        <v>1148.2983839999999</v>
      </c>
      <c r="O45" s="524">
        <f t="shared" si="4"/>
        <v>-19.623742091578833</v>
      </c>
      <c r="P45" s="524">
        <f t="shared" si="5"/>
        <v>-224.89735359999997</v>
      </c>
      <c r="Q45" s="524">
        <f t="shared" si="6"/>
        <v>-244.52109569157881</v>
      </c>
      <c r="R45" s="447">
        <v>1307.6137663679999</v>
      </c>
      <c r="S45" s="456">
        <f t="shared" si="7"/>
        <v>784.56825982079999</v>
      </c>
      <c r="T45" s="464">
        <f t="shared" si="8"/>
        <v>523.04550654719992</v>
      </c>
      <c r="U45" s="447">
        <v>1430.749104</v>
      </c>
      <c r="V45" s="464">
        <f t="shared" si="9"/>
        <v>858.44946240000002</v>
      </c>
      <c r="W45" s="464">
        <f t="shared" si="10"/>
        <v>572.29964159999997</v>
      </c>
      <c r="Y45" s="447">
        <v>1139.007944</v>
      </c>
      <c r="Z45" s="509">
        <f t="shared" si="11"/>
        <v>683.40476639999997</v>
      </c>
      <c r="AA45" s="509">
        <f t="shared" si="12"/>
        <v>455.60317759999998</v>
      </c>
      <c r="AB45" s="447">
        <v>1435.0503840000001</v>
      </c>
      <c r="AC45" s="622">
        <f t="shared" si="13"/>
        <v>861.03023040000005</v>
      </c>
      <c r="AD45" s="622">
        <f t="shared" si="14"/>
        <v>574.02015360000007</v>
      </c>
    </row>
    <row r="46" spans="1:30">
      <c r="A46" s="367" t="s">
        <v>19</v>
      </c>
      <c r="B46" s="300"/>
      <c r="C46" s="526">
        <f>SUM(C13:C45)</f>
        <v>15369.189500799997</v>
      </c>
      <c r="D46" s="526">
        <f>SUM(D13:D45)</f>
        <v>10220.233087999999</v>
      </c>
      <c r="E46" s="525">
        <f t="shared" si="0"/>
        <v>25589.422588799996</v>
      </c>
      <c r="F46" s="527">
        <v>1193.0700000000002</v>
      </c>
      <c r="G46" s="527">
        <v>795.38999999999976</v>
      </c>
      <c r="H46" s="525">
        <f t="shared" si="1"/>
        <v>1988.46</v>
      </c>
      <c r="I46" s="527">
        <f>SUM(I13:I45)</f>
        <v>12516.86</v>
      </c>
      <c r="J46" s="527">
        <f t="shared" ref="J46" si="15">SUM(J13:J45)</f>
        <v>4792.8965000000007</v>
      </c>
      <c r="K46" s="525">
        <f t="shared" si="2"/>
        <v>17309.756500000003</v>
      </c>
      <c r="L46" s="527">
        <v>14210.534453759999</v>
      </c>
      <c r="M46" s="527">
        <v>9473.6896358400008</v>
      </c>
      <c r="N46" s="525">
        <f t="shared" si="3"/>
        <v>23684.2240896</v>
      </c>
      <c r="O46" s="524">
        <f t="shared" ref="O46" si="16">SUM(O13:O45)</f>
        <v>-500.60445375999956</v>
      </c>
      <c r="P46" s="524">
        <f t="shared" si="5"/>
        <v>-3885.4031358400007</v>
      </c>
      <c r="Q46" s="524">
        <f t="shared" si="6"/>
        <v>-4386.007589599998</v>
      </c>
      <c r="U46" s="15">
        <f>SUM(U13:U45)</f>
        <v>24066.03437759999</v>
      </c>
      <c r="V46" s="480">
        <f t="shared" ref="V46:W46" si="17">SUM(V13:V45)</f>
        <v>14439.620626559999</v>
      </c>
      <c r="W46" s="480">
        <f t="shared" si="17"/>
        <v>9626.4137510399996</v>
      </c>
      <c r="X46" s="15">
        <f>W46+V46</f>
        <v>24066.034377600001</v>
      </c>
      <c r="Y46" s="15">
        <v>23414.385353600002</v>
      </c>
      <c r="Z46" s="509">
        <f t="shared" si="11"/>
        <v>14048.63121216</v>
      </c>
      <c r="AA46" s="509">
        <f t="shared" si="12"/>
        <v>9365.7541414400021</v>
      </c>
      <c r="AB46" s="15">
        <v>23605.367289599999</v>
      </c>
      <c r="AC46" s="622">
        <f t="shared" si="13"/>
        <v>14163.220373759999</v>
      </c>
      <c r="AD46" s="622">
        <f t="shared" si="14"/>
        <v>9442.1469158399996</v>
      </c>
    </row>
    <row r="47" spans="1:30">
      <c r="A47" s="528"/>
      <c r="B47" s="304"/>
      <c r="C47" s="304"/>
      <c r="D47" s="304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</row>
    <row r="48" spans="1:30" ht="14.25" customHeight="1">
      <c r="A48" s="973" t="s">
        <v>673</v>
      </c>
      <c r="B48" s="973"/>
      <c r="C48" s="973"/>
      <c r="D48" s="973"/>
      <c r="E48" s="973"/>
      <c r="F48" s="973"/>
      <c r="G48" s="973"/>
      <c r="H48" s="973"/>
      <c r="I48" s="973"/>
      <c r="J48" s="973"/>
      <c r="K48" s="973"/>
      <c r="L48" s="973"/>
      <c r="M48" s="973"/>
      <c r="N48" s="973"/>
      <c r="O48" s="973"/>
      <c r="P48" s="973"/>
      <c r="Q48" s="973"/>
    </row>
    <row r="49" spans="1:18" ht="15.75" customHeight="1">
      <c r="A49" s="529"/>
      <c r="B49" s="530"/>
      <c r="C49" s="530"/>
      <c r="D49" s="530"/>
      <c r="E49" s="530"/>
      <c r="F49" s="530"/>
      <c r="G49" s="530"/>
      <c r="H49" s="530"/>
      <c r="I49" s="723">
        <f>I46+T7_CC_PY_Utlsn!I47</f>
        <v>31292.15</v>
      </c>
      <c r="J49" s="530"/>
      <c r="K49" s="530"/>
      <c r="L49" s="530"/>
      <c r="M49" s="530"/>
      <c r="N49" s="530"/>
      <c r="O49" s="530"/>
      <c r="P49" s="530"/>
      <c r="Q49" s="530"/>
    </row>
    <row r="50" spans="1:18" ht="15.75" customHeight="1">
      <c r="A50" s="305" t="s">
        <v>12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295"/>
      <c r="O50" s="295"/>
      <c r="P50" s="965" t="s">
        <v>13</v>
      </c>
      <c r="Q50" s="965"/>
    </row>
    <row r="51" spans="1:18" ht="12.75" customHeight="1">
      <c r="A51" s="965" t="s">
        <v>14</v>
      </c>
      <c r="B51" s="965"/>
      <c r="C51" s="965"/>
      <c r="D51" s="965"/>
      <c r="E51" s="965"/>
      <c r="F51" s="965"/>
      <c r="G51" s="965"/>
      <c r="H51" s="965"/>
      <c r="I51" s="965"/>
      <c r="J51" s="965"/>
      <c r="K51" s="965"/>
      <c r="L51" s="965"/>
      <c r="M51" s="965"/>
      <c r="N51" s="965"/>
      <c r="O51" s="965"/>
      <c r="P51" s="965"/>
      <c r="Q51" s="965"/>
    </row>
    <row r="52" spans="1:18" ht="12.75" customHeight="1">
      <c r="A52" s="965" t="s">
        <v>20</v>
      </c>
      <c r="B52" s="965"/>
      <c r="C52" s="965"/>
      <c r="D52" s="965"/>
      <c r="E52" s="965"/>
      <c r="F52" s="965"/>
      <c r="G52" s="965"/>
      <c r="H52" s="965"/>
      <c r="I52" s="965"/>
      <c r="J52" s="965"/>
      <c r="K52" s="965"/>
      <c r="L52" s="965"/>
      <c r="M52" s="965"/>
      <c r="N52" s="965"/>
      <c r="O52" s="965"/>
      <c r="P52" s="965"/>
      <c r="Q52" s="965"/>
    </row>
    <row r="53" spans="1:18">
      <c r="A53" s="305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295"/>
      <c r="O53" s="977" t="s">
        <v>87</v>
      </c>
      <c r="P53" s="977"/>
      <c r="Q53" s="977"/>
      <c r="R53" s="36"/>
    </row>
  </sheetData>
  <mergeCells count="19">
    <mergeCell ref="O53:Q53"/>
    <mergeCell ref="P1:Q1"/>
    <mergeCell ref="A2:Q2"/>
    <mergeCell ref="A3:Q3"/>
    <mergeCell ref="N9:Q9"/>
    <mergeCell ref="D6:O6"/>
    <mergeCell ref="R1:R10"/>
    <mergeCell ref="A52:Q52"/>
    <mergeCell ref="I10:K10"/>
    <mergeCell ref="L10:N10"/>
    <mergeCell ref="O10:Q10"/>
    <mergeCell ref="P50:Q50"/>
    <mergeCell ref="A51:Q51"/>
    <mergeCell ref="A8:B8"/>
    <mergeCell ref="A48:Q48"/>
    <mergeCell ref="A10:A11"/>
    <mergeCell ref="B10:B11"/>
    <mergeCell ref="C10:E10"/>
    <mergeCell ref="F10:H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O55"/>
  <sheetViews>
    <sheetView view="pageBreakPreview" topLeftCell="C16" zoomScale="87" zoomScaleNormal="80" zoomScaleSheetLayoutView="87" workbookViewId="0">
      <selection activeCell="R47" sqref="R47"/>
    </sheetView>
  </sheetViews>
  <sheetFormatPr defaultRowHeight="12.75"/>
  <cols>
    <col min="2" max="2" width="11.5703125" customWidth="1"/>
    <col min="3" max="3" width="14.7109375" customWidth="1"/>
    <col min="4" max="4" width="11.28515625" customWidth="1"/>
    <col min="5" max="5" width="12.42578125" customWidth="1"/>
    <col min="6" max="6" width="12" customWidth="1"/>
    <col min="7" max="7" width="14.140625" customWidth="1"/>
    <col min="10" max="10" width="11.140625" customWidth="1"/>
    <col min="13" max="13" width="10.7109375" customWidth="1"/>
    <col min="16" max="17" width="10.5703125" customWidth="1"/>
    <col min="20" max="20" width="10.42578125" customWidth="1"/>
    <col min="21" max="21" width="11.140625" customWidth="1"/>
    <col min="22" max="22" width="11.85546875" customWidth="1"/>
  </cols>
  <sheetData>
    <row r="1" spans="1:41" ht="15">
      <c r="Q1" s="986" t="s">
        <v>68</v>
      </c>
      <c r="R1" s="986"/>
      <c r="S1" s="986"/>
      <c r="T1" s="986"/>
      <c r="U1" s="986"/>
      <c r="V1" s="986"/>
    </row>
    <row r="3" spans="1:41" ht="15">
      <c r="A3" s="932" t="s">
        <v>0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</row>
    <row r="4" spans="1:41" ht="20.25">
      <c r="A4" s="912" t="s">
        <v>705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44"/>
    </row>
    <row r="5" spans="1:41" ht="15.75">
      <c r="A5" s="983" t="s">
        <v>963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</row>
    <row r="6" spans="1:41">
      <c r="A6" s="36"/>
      <c r="B6" s="36"/>
      <c r="C6" s="17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8" spans="1:41" ht="15.75">
      <c r="A8" s="849" t="s">
        <v>853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</row>
    <row r="9" spans="1:41" ht="15.75">
      <c r="A9" s="47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Q9" s="36"/>
      <c r="R9" s="36"/>
      <c r="S9" s="36"/>
      <c r="U9" s="990" t="s">
        <v>226</v>
      </c>
      <c r="V9" s="990"/>
    </row>
    <row r="10" spans="1:41">
      <c r="P10" s="922" t="s">
        <v>785</v>
      </c>
      <c r="Q10" s="922"/>
      <c r="R10" s="922"/>
      <c r="S10" s="922"/>
      <c r="T10" s="922"/>
      <c r="U10" s="922"/>
      <c r="V10" s="922"/>
    </row>
    <row r="11" spans="1:41" ht="28.5" customHeight="1">
      <c r="A11" s="984" t="s">
        <v>26</v>
      </c>
      <c r="B11" s="924" t="s">
        <v>205</v>
      </c>
      <c r="C11" s="924" t="s">
        <v>373</v>
      </c>
      <c r="D11" s="924" t="s">
        <v>477</v>
      </c>
      <c r="E11" s="852" t="s">
        <v>765</v>
      </c>
      <c r="F11" s="852"/>
      <c r="G11" s="852"/>
      <c r="H11" s="829" t="s">
        <v>796</v>
      </c>
      <c r="I11" s="855"/>
      <c r="J11" s="830"/>
      <c r="K11" s="885" t="s">
        <v>375</v>
      </c>
      <c r="L11" s="886"/>
      <c r="M11" s="960"/>
      <c r="N11" s="987" t="s">
        <v>159</v>
      </c>
      <c r="O11" s="988"/>
      <c r="P11" s="989"/>
      <c r="Q11" s="844" t="s">
        <v>797</v>
      </c>
      <c r="R11" s="844"/>
      <c r="S11" s="844"/>
      <c r="T11" s="924" t="s">
        <v>248</v>
      </c>
      <c r="U11" s="924" t="s">
        <v>428</v>
      </c>
      <c r="V11" s="924" t="s">
        <v>376</v>
      </c>
    </row>
    <row r="12" spans="1:41" ht="65.25" customHeight="1">
      <c r="A12" s="985"/>
      <c r="B12" s="925"/>
      <c r="C12" s="925"/>
      <c r="D12" s="925"/>
      <c r="E12" s="5" t="s">
        <v>180</v>
      </c>
      <c r="F12" s="5" t="s">
        <v>206</v>
      </c>
      <c r="G12" s="5" t="s">
        <v>19</v>
      </c>
      <c r="H12" s="5" t="s">
        <v>180</v>
      </c>
      <c r="I12" s="5" t="s">
        <v>206</v>
      </c>
      <c r="J12" s="5" t="s">
        <v>19</v>
      </c>
      <c r="K12" s="5" t="s">
        <v>180</v>
      </c>
      <c r="L12" s="5" t="s">
        <v>206</v>
      </c>
      <c r="M12" s="5" t="s">
        <v>19</v>
      </c>
      <c r="N12" s="5" t="s">
        <v>180</v>
      </c>
      <c r="O12" s="5" t="s">
        <v>206</v>
      </c>
      <c r="P12" s="5" t="s">
        <v>19</v>
      </c>
      <c r="Q12" s="5" t="s">
        <v>236</v>
      </c>
      <c r="R12" s="5" t="s">
        <v>218</v>
      </c>
      <c r="S12" s="5" t="s">
        <v>219</v>
      </c>
      <c r="T12" s="925"/>
      <c r="U12" s="925"/>
      <c r="V12" s="925"/>
    </row>
    <row r="13" spans="1:41">
      <c r="A13" s="170">
        <v>1</v>
      </c>
      <c r="B13" s="113">
        <v>2</v>
      </c>
      <c r="C13" s="8">
        <v>3</v>
      </c>
      <c r="D13" s="113">
        <v>4</v>
      </c>
      <c r="E13" s="113">
        <v>5</v>
      </c>
      <c r="F13" s="8">
        <v>6</v>
      </c>
      <c r="G13" s="113">
        <v>7</v>
      </c>
      <c r="H13" s="113">
        <v>8</v>
      </c>
      <c r="I13" s="8">
        <v>9</v>
      </c>
      <c r="J13" s="113">
        <v>10</v>
      </c>
      <c r="K13" s="113">
        <v>11</v>
      </c>
      <c r="L13" s="8">
        <v>12</v>
      </c>
      <c r="M13" s="113">
        <v>13</v>
      </c>
      <c r="N13" s="113">
        <v>14</v>
      </c>
      <c r="O13" s="8">
        <v>15</v>
      </c>
      <c r="P13" s="113">
        <v>16</v>
      </c>
      <c r="Q13" s="113">
        <v>17</v>
      </c>
      <c r="R13" s="8">
        <v>18</v>
      </c>
      <c r="S13" s="113">
        <v>19</v>
      </c>
      <c r="T13" s="113">
        <v>20</v>
      </c>
      <c r="U13" s="8">
        <v>21</v>
      </c>
      <c r="V13" s="113">
        <v>22</v>
      </c>
    </row>
    <row r="14" spans="1:41" ht="14.25">
      <c r="A14" s="448">
        <v>1</v>
      </c>
      <c r="B14" s="385" t="s">
        <v>889</v>
      </c>
      <c r="C14" s="8">
        <v>883</v>
      </c>
      <c r="D14" s="9">
        <v>883</v>
      </c>
      <c r="E14" s="473">
        <v>52.348678350790379</v>
      </c>
      <c r="F14" s="473">
        <v>66.754480807123059</v>
      </c>
      <c r="G14" s="473">
        <f>F14+E14</f>
        <v>119.10315915791344</v>
      </c>
      <c r="H14" s="8">
        <v>-6.5800000000000125</v>
      </c>
      <c r="I14" s="8">
        <v>-11.25</v>
      </c>
      <c r="J14" s="8">
        <f>I14+H14</f>
        <v>-17.830000000000013</v>
      </c>
      <c r="K14" s="473">
        <v>127.25060309189294</v>
      </c>
      <c r="L14" s="473">
        <v>76.350361855135759</v>
      </c>
      <c r="M14" s="472">
        <f>L14+K14</f>
        <v>203.6009649470287</v>
      </c>
      <c r="N14" s="473">
        <v>55.628999999999998</v>
      </c>
      <c r="O14" s="473">
        <v>66.754799999999989</v>
      </c>
      <c r="P14" s="472">
        <f>O14+N14</f>
        <v>122.38379999999998</v>
      </c>
      <c r="Q14" s="473">
        <f>H14+K14-N14</f>
        <v>65.041603091892938</v>
      </c>
      <c r="R14" s="473">
        <f>I14+L14-O14</f>
        <v>-1.6544381448642298</v>
      </c>
      <c r="S14" s="473">
        <f>J14+M14-P14</f>
        <v>63.387164947028708</v>
      </c>
      <c r="T14" s="448" t="s">
        <v>964</v>
      </c>
      <c r="U14" s="8">
        <v>883</v>
      </c>
      <c r="V14" s="8">
        <v>883</v>
      </c>
      <c r="W14" s="471">
        <f>4001.68/67499*C14</f>
        <v>52.348678350790379</v>
      </c>
      <c r="X14" s="470">
        <f>2667.78/67499*C14</f>
        <v>34.89903168935836</v>
      </c>
      <c r="Y14" s="470">
        <v>255.26999999999998</v>
      </c>
      <c r="Z14" s="470">
        <f>Y14*60/100</f>
        <v>153.16199999999998</v>
      </c>
      <c r="AA14" s="470">
        <f>Y14-Z14</f>
        <v>102.108</v>
      </c>
      <c r="AB14">
        <v>199.01</v>
      </c>
      <c r="AC14">
        <f>AB14*60/100</f>
        <v>119.40599999999999</v>
      </c>
      <c r="AD14">
        <f>AB14-AC14</f>
        <v>79.603999999999999</v>
      </c>
      <c r="AE14">
        <v>500.76179999999999</v>
      </c>
      <c r="AF14">
        <f>AE14*55/100</f>
        <v>275.41899000000001</v>
      </c>
      <c r="AG14">
        <f>AF14*60/100</f>
        <v>165.251394</v>
      </c>
      <c r="AH14">
        <f>AF14-AG14</f>
        <v>110.167596</v>
      </c>
      <c r="AI14">
        <f>AE14-AF14</f>
        <v>225.34280999999999</v>
      </c>
      <c r="AJ14">
        <f>AI14*0.6</f>
        <v>135.20568599999999</v>
      </c>
      <c r="AK14">
        <f>AI14-AJ14</f>
        <v>90.137124</v>
      </c>
      <c r="AL14">
        <f>D14*1320*10.5/100000</f>
        <v>122.38379999999999</v>
      </c>
      <c r="AM14">
        <f>AL14/1320*600</f>
        <v>55.628999999999998</v>
      </c>
      <c r="AN14">
        <f>AL14-AM14</f>
        <v>66.754799999999989</v>
      </c>
      <c r="AO14" s="470">
        <f>5102.9/67499*'AT-8_Hon_CCH_Pry'!D14</f>
        <v>66.754480807123059</v>
      </c>
    </row>
    <row r="15" spans="1:41" ht="14.25">
      <c r="A15" s="448">
        <v>2</v>
      </c>
      <c r="B15" s="385" t="s">
        <v>890</v>
      </c>
      <c r="C15" s="8">
        <v>4622</v>
      </c>
      <c r="D15" s="9">
        <v>4622</v>
      </c>
      <c r="E15" s="473">
        <v>274.01539222803297</v>
      </c>
      <c r="F15" s="473">
        <v>349.42152920784008</v>
      </c>
      <c r="G15" s="473">
        <f t="shared" ref="G15:G47" si="0">F15+E15</f>
        <v>623.43692143587305</v>
      </c>
      <c r="H15" s="8">
        <v>28.25</v>
      </c>
      <c r="I15" s="8">
        <v>24.339999999999975</v>
      </c>
      <c r="J15" s="8">
        <f t="shared" ref="J15:J47" si="1">I15+H15</f>
        <v>52.589999999999975</v>
      </c>
      <c r="K15" s="473">
        <v>132.15080064112828</v>
      </c>
      <c r="L15" s="473">
        <v>79.290480384676982</v>
      </c>
      <c r="M15" s="472">
        <f t="shared" ref="M15:M47" si="2">L15+K15</f>
        <v>211.44128102580527</v>
      </c>
      <c r="N15" s="473">
        <v>291.18599999999998</v>
      </c>
      <c r="O15" s="473">
        <v>349.42320000000001</v>
      </c>
      <c r="P15" s="472">
        <f t="shared" ref="P15:P47" si="3">O15+N15</f>
        <v>640.60919999999999</v>
      </c>
      <c r="Q15" s="473">
        <f t="shared" ref="Q15:Q47" si="4">H15+K15-N15</f>
        <v>-130.78519935887169</v>
      </c>
      <c r="R15" s="473">
        <f t="shared" ref="R15:R47" si="5">I15+L15-O15</f>
        <v>-245.79271961532305</v>
      </c>
      <c r="S15" s="473">
        <f t="shared" ref="S15:S47" si="6">J15+M15-P15</f>
        <v>-376.57791897419474</v>
      </c>
      <c r="T15" s="448" t="s">
        <v>964</v>
      </c>
      <c r="U15" s="8">
        <v>4622</v>
      </c>
      <c r="V15" s="8">
        <v>4622</v>
      </c>
      <c r="W15" s="471">
        <f t="shared" ref="W15:W46" si="7">4001.68/67499*C15</f>
        <v>274.01539222803297</v>
      </c>
      <c r="X15" s="470">
        <f t="shared" ref="X15:X46" si="8">2667.78/67499*C15</f>
        <v>182.67647165143188</v>
      </c>
      <c r="Y15" s="470">
        <v>265.10000000000002</v>
      </c>
      <c r="Z15" s="470">
        <f t="shared" ref="Z15:Z46" si="9">Y15*60/100</f>
        <v>159.06000000000003</v>
      </c>
      <c r="AA15" s="470">
        <f t="shared" ref="AA15:AA46" si="10">Y15-Z15</f>
        <v>106.03999999999999</v>
      </c>
      <c r="AB15">
        <v>213.63</v>
      </c>
      <c r="AC15">
        <f t="shared" ref="AC15:AC46" si="11">AB15*60/100</f>
        <v>128.178</v>
      </c>
      <c r="AD15">
        <f t="shared" ref="AD15:AD46" si="12">AB15-AC15</f>
        <v>85.451999999999998</v>
      </c>
      <c r="AE15">
        <v>655.57799999999997</v>
      </c>
      <c r="AF15">
        <f t="shared" ref="AF15:AF46" si="13">AE15*55/100</f>
        <v>360.56790000000001</v>
      </c>
      <c r="AG15">
        <f t="shared" ref="AG15:AG46" si="14">AF15*60/100</f>
        <v>216.34074000000001</v>
      </c>
      <c r="AH15">
        <f t="shared" ref="AH15:AH46" si="15">AF15-AG15</f>
        <v>144.22716</v>
      </c>
      <c r="AI15">
        <f t="shared" ref="AI15:AI46" si="16">AE15-AF15</f>
        <v>295.01009999999997</v>
      </c>
      <c r="AJ15">
        <f t="shared" ref="AJ15:AJ46" si="17">AI15*0.6</f>
        <v>177.00605999999996</v>
      </c>
      <c r="AK15">
        <f t="shared" ref="AK15:AK46" si="18">AI15-AJ15</f>
        <v>118.00404</v>
      </c>
      <c r="AL15">
        <f t="shared" ref="AL15:AL46" si="19">D15*1320*10.5/100000</f>
        <v>640.60919999999999</v>
      </c>
      <c r="AM15">
        <f t="shared" ref="AM15:AM46" si="20">AL15/1320*600</f>
        <v>291.18599999999998</v>
      </c>
      <c r="AN15">
        <f t="shared" ref="AN15:AN46" si="21">AL15-AM15</f>
        <v>349.42320000000001</v>
      </c>
      <c r="AO15" s="470">
        <f>5102.9/67499*'AT-8_Hon_CCH_Pry'!D15</f>
        <v>349.42152920784008</v>
      </c>
    </row>
    <row r="16" spans="1:41" ht="13.5" customHeight="1">
      <c r="A16" s="448">
        <v>3</v>
      </c>
      <c r="B16" s="385" t="s">
        <v>891</v>
      </c>
      <c r="C16" s="8">
        <v>2856</v>
      </c>
      <c r="D16" s="9">
        <v>2856</v>
      </c>
      <c r="E16" s="473">
        <v>169.31803552645223</v>
      </c>
      <c r="F16" s="473">
        <v>215.91256759359396</v>
      </c>
      <c r="G16" s="473">
        <f t="shared" si="0"/>
        <v>385.23060312004623</v>
      </c>
      <c r="H16" s="8">
        <v>-14.609999999999985</v>
      </c>
      <c r="I16" s="8">
        <v>-23.460000000000008</v>
      </c>
      <c r="J16" s="8">
        <f t="shared" si="1"/>
        <v>-38.069999999999993</v>
      </c>
      <c r="K16" s="473">
        <v>178.35123897918857</v>
      </c>
      <c r="L16" s="473">
        <v>107.01074338751314</v>
      </c>
      <c r="M16" s="472">
        <f t="shared" si="2"/>
        <v>285.36198236670168</v>
      </c>
      <c r="N16" s="473">
        <v>179.92800000000003</v>
      </c>
      <c r="O16" s="473">
        <v>215.9136</v>
      </c>
      <c r="P16" s="472">
        <f t="shared" si="3"/>
        <v>395.84160000000003</v>
      </c>
      <c r="Q16" s="473">
        <f t="shared" si="4"/>
        <v>-16.186761020811446</v>
      </c>
      <c r="R16" s="473">
        <f t="shared" si="5"/>
        <v>-132.36285661248687</v>
      </c>
      <c r="S16" s="473">
        <f t="shared" si="6"/>
        <v>-148.54961763329834</v>
      </c>
      <c r="T16" s="448" t="s">
        <v>964</v>
      </c>
      <c r="U16" s="8">
        <v>2856</v>
      </c>
      <c r="V16" s="8">
        <v>2856</v>
      </c>
      <c r="W16" s="471">
        <f t="shared" si="7"/>
        <v>169.31803552645223</v>
      </c>
      <c r="X16" s="470">
        <f t="shared" si="8"/>
        <v>112.87840827271516</v>
      </c>
      <c r="Y16" s="470">
        <v>357.78000000000003</v>
      </c>
      <c r="Z16" s="470">
        <f t="shared" si="9"/>
        <v>214.66800000000003</v>
      </c>
      <c r="AA16" s="470">
        <f t="shared" si="10"/>
        <v>143.11199999999999</v>
      </c>
      <c r="AB16">
        <v>268.81</v>
      </c>
      <c r="AC16">
        <f t="shared" si="11"/>
        <v>161.286</v>
      </c>
      <c r="AD16">
        <f t="shared" si="12"/>
        <v>107.524</v>
      </c>
      <c r="AE16">
        <v>599.72219999999993</v>
      </c>
      <c r="AF16">
        <f t="shared" si="13"/>
        <v>329.84720999999996</v>
      </c>
      <c r="AG16">
        <f t="shared" si="14"/>
        <v>197.90832599999999</v>
      </c>
      <c r="AH16">
        <f t="shared" si="15"/>
        <v>131.93888399999997</v>
      </c>
      <c r="AI16">
        <f t="shared" si="16"/>
        <v>269.87498999999997</v>
      </c>
      <c r="AJ16">
        <f t="shared" si="17"/>
        <v>161.92499399999997</v>
      </c>
      <c r="AK16">
        <f t="shared" si="18"/>
        <v>107.949996</v>
      </c>
      <c r="AL16">
        <f t="shared" si="19"/>
        <v>395.84160000000003</v>
      </c>
      <c r="AM16">
        <f t="shared" si="20"/>
        <v>179.92800000000003</v>
      </c>
      <c r="AN16">
        <f t="shared" si="21"/>
        <v>215.9136</v>
      </c>
      <c r="AO16" s="470">
        <f>5102.9/67499*'AT-8_Hon_CCH_Pry'!D16</f>
        <v>215.91256759359396</v>
      </c>
    </row>
    <row r="17" spans="1:41" ht="14.25">
      <c r="A17" s="448">
        <v>4</v>
      </c>
      <c r="B17" s="385" t="s">
        <v>892</v>
      </c>
      <c r="C17" s="8">
        <v>1169</v>
      </c>
      <c r="D17" s="9">
        <v>1169</v>
      </c>
      <c r="E17" s="473">
        <v>69.304195914013533</v>
      </c>
      <c r="F17" s="473">
        <v>88.375977421887725</v>
      </c>
      <c r="G17" s="473">
        <f t="shared" si="0"/>
        <v>157.68017333590126</v>
      </c>
      <c r="H17" s="8">
        <v>29.33</v>
      </c>
      <c r="I17" s="8">
        <v>24.980000000000004</v>
      </c>
      <c r="J17" s="8">
        <f t="shared" si="1"/>
        <v>54.31</v>
      </c>
      <c r="K17" s="473">
        <v>90.287261456511345</v>
      </c>
      <c r="L17" s="473">
        <v>54.172356873906807</v>
      </c>
      <c r="M17" s="472">
        <f t="shared" si="2"/>
        <v>144.45961833041815</v>
      </c>
      <c r="N17" s="473">
        <v>73.647000000000006</v>
      </c>
      <c r="O17" s="473">
        <v>88.376400000000004</v>
      </c>
      <c r="P17" s="472">
        <f t="shared" si="3"/>
        <v>162.02340000000001</v>
      </c>
      <c r="Q17" s="473">
        <f t="shared" si="4"/>
        <v>45.970261456511338</v>
      </c>
      <c r="R17" s="473">
        <f t="shared" si="5"/>
        <v>-9.2240431260931928</v>
      </c>
      <c r="S17" s="473">
        <f t="shared" si="6"/>
        <v>36.746218330418145</v>
      </c>
      <c r="T17" s="448" t="s">
        <v>964</v>
      </c>
      <c r="U17" s="8">
        <v>1169</v>
      </c>
      <c r="V17" s="8">
        <v>1169</v>
      </c>
      <c r="W17" s="471">
        <f t="shared" si="7"/>
        <v>69.304195914013533</v>
      </c>
      <c r="X17" s="470">
        <f t="shared" si="8"/>
        <v>46.202681817508413</v>
      </c>
      <c r="Y17" s="470">
        <v>181.12</v>
      </c>
      <c r="Z17" s="470">
        <f t="shared" si="9"/>
        <v>108.67200000000001</v>
      </c>
      <c r="AA17" s="470">
        <f t="shared" si="10"/>
        <v>72.447999999999993</v>
      </c>
      <c r="AB17">
        <v>149.04000000000002</v>
      </c>
      <c r="AC17">
        <f t="shared" si="11"/>
        <v>89.424000000000021</v>
      </c>
      <c r="AD17">
        <f t="shared" si="12"/>
        <v>59.616</v>
      </c>
      <c r="AE17">
        <v>285.10019999999997</v>
      </c>
      <c r="AF17">
        <f t="shared" si="13"/>
        <v>156.80510999999998</v>
      </c>
      <c r="AG17">
        <f t="shared" si="14"/>
        <v>94.083066000000002</v>
      </c>
      <c r="AH17">
        <f t="shared" si="15"/>
        <v>62.722043999999983</v>
      </c>
      <c r="AI17">
        <f t="shared" si="16"/>
        <v>128.29508999999999</v>
      </c>
      <c r="AJ17">
        <f t="shared" si="17"/>
        <v>76.977053999999995</v>
      </c>
      <c r="AK17">
        <f t="shared" si="18"/>
        <v>51.318035999999992</v>
      </c>
      <c r="AL17">
        <f t="shared" si="19"/>
        <v>162.02340000000001</v>
      </c>
      <c r="AM17">
        <f t="shared" si="20"/>
        <v>73.647000000000006</v>
      </c>
      <c r="AN17">
        <f t="shared" si="21"/>
        <v>88.376400000000004</v>
      </c>
      <c r="AO17" s="470">
        <f>5102.9/67499*'AT-8_Hon_CCH_Pry'!D17</f>
        <v>88.375977421887725</v>
      </c>
    </row>
    <row r="18" spans="1:41" ht="14.25">
      <c r="A18" s="448">
        <v>5</v>
      </c>
      <c r="B18" s="385" t="s">
        <v>893</v>
      </c>
      <c r="C18" s="8">
        <v>4902</v>
      </c>
      <c r="D18" s="9">
        <v>4902</v>
      </c>
      <c r="E18" s="473">
        <v>290.61519963258712</v>
      </c>
      <c r="F18" s="473">
        <v>383.45827787950185</v>
      </c>
      <c r="G18" s="473">
        <f t="shared" si="0"/>
        <v>674.07347751208897</v>
      </c>
      <c r="H18" s="8">
        <v>86.269999999999925</v>
      </c>
      <c r="I18" s="8">
        <v>84.779999999999973</v>
      </c>
      <c r="J18" s="8">
        <f t="shared" si="1"/>
        <v>171.0499999999999</v>
      </c>
      <c r="K18" s="473">
        <v>270.81691989553286</v>
      </c>
      <c r="L18" s="473">
        <v>162.49015193731972</v>
      </c>
      <c r="M18" s="472">
        <f t="shared" si="2"/>
        <v>433.30707183285256</v>
      </c>
      <c r="N18" s="473">
        <v>308.82600000000002</v>
      </c>
      <c r="O18" s="473">
        <v>370.59119999999996</v>
      </c>
      <c r="P18" s="472">
        <f t="shared" si="3"/>
        <v>679.41719999999998</v>
      </c>
      <c r="Q18" s="473">
        <f t="shared" si="4"/>
        <v>48.260919895532766</v>
      </c>
      <c r="R18" s="473">
        <f t="shared" si="5"/>
        <v>-123.32104806268026</v>
      </c>
      <c r="S18" s="473">
        <f t="shared" si="6"/>
        <v>-75.060128167147582</v>
      </c>
      <c r="T18" s="448" t="s">
        <v>964</v>
      </c>
      <c r="U18" s="8">
        <v>4902</v>
      </c>
      <c r="V18" s="8">
        <v>4902</v>
      </c>
      <c r="W18" s="471">
        <f t="shared" si="7"/>
        <v>290.61519963258712</v>
      </c>
      <c r="X18" s="470">
        <f t="shared" si="8"/>
        <v>193.74298226640397</v>
      </c>
      <c r="Y18" s="470">
        <v>543.27</v>
      </c>
      <c r="Z18" s="470">
        <f t="shared" si="9"/>
        <v>325.96199999999999</v>
      </c>
      <c r="AA18" s="470">
        <f t="shared" si="10"/>
        <v>217.30799999999999</v>
      </c>
      <c r="AB18">
        <v>413.3</v>
      </c>
      <c r="AC18">
        <f t="shared" si="11"/>
        <v>247.98</v>
      </c>
      <c r="AD18">
        <f t="shared" si="12"/>
        <v>165.32000000000002</v>
      </c>
      <c r="AE18">
        <v>1132.5006000000001</v>
      </c>
      <c r="AF18">
        <f t="shared" si="13"/>
        <v>622.87533000000008</v>
      </c>
      <c r="AG18">
        <f t="shared" si="14"/>
        <v>373.72519800000003</v>
      </c>
      <c r="AH18">
        <f t="shared" si="15"/>
        <v>249.15013200000004</v>
      </c>
      <c r="AI18">
        <f t="shared" si="16"/>
        <v>509.62527</v>
      </c>
      <c r="AJ18">
        <f t="shared" si="17"/>
        <v>305.77516199999997</v>
      </c>
      <c r="AK18">
        <f t="shared" si="18"/>
        <v>203.85010800000003</v>
      </c>
      <c r="AL18">
        <f t="shared" si="19"/>
        <v>679.41719999999998</v>
      </c>
      <c r="AM18">
        <f t="shared" si="20"/>
        <v>308.82600000000002</v>
      </c>
      <c r="AN18">
        <f t="shared" si="21"/>
        <v>370.59119999999996</v>
      </c>
      <c r="AO18" s="470">
        <f>5102.9/67499*'AT-8_Hon_CCH_Pry'!D18</f>
        <v>370.58942799152572</v>
      </c>
    </row>
    <row r="19" spans="1:41" ht="16.5" customHeight="1">
      <c r="A19" s="448">
        <v>6</v>
      </c>
      <c r="B19" s="385" t="s">
        <v>894</v>
      </c>
      <c r="C19" s="8">
        <v>3356</v>
      </c>
      <c r="D19" s="9">
        <v>3356</v>
      </c>
      <c r="E19" s="473">
        <v>198.96054874887034</v>
      </c>
      <c r="F19" s="473">
        <v>253.71238685017553</v>
      </c>
      <c r="G19" s="473">
        <f t="shared" si="0"/>
        <v>452.6729355990459</v>
      </c>
      <c r="H19" s="8">
        <v>3.4799999999999898</v>
      </c>
      <c r="I19" s="8">
        <v>0.32999999999998408</v>
      </c>
      <c r="J19" s="8">
        <f t="shared" si="1"/>
        <v>3.8099999999999739</v>
      </c>
      <c r="K19" s="473">
        <v>153.62094392145045</v>
      </c>
      <c r="L19" s="473">
        <v>92.172566352870277</v>
      </c>
      <c r="M19" s="472">
        <f t="shared" si="2"/>
        <v>245.79351027432074</v>
      </c>
      <c r="N19" s="473">
        <v>211.42799999999997</v>
      </c>
      <c r="O19" s="473">
        <v>253.71360000000001</v>
      </c>
      <c r="P19" s="472">
        <f t="shared" si="3"/>
        <v>465.14159999999998</v>
      </c>
      <c r="Q19" s="473">
        <f t="shared" si="4"/>
        <v>-54.327056078549532</v>
      </c>
      <c r="R19" s="473">
        <f t="shared" si="5"/>
        <v>-161.21103364712974</v>
      </c>
      <c r="S19" s="473">
        <f t="shared" si="6"/>
        <v>-215.53808972567927</v>
      </c>
      <c r="T19" s="448" t="s">
        <v>964</v>
      </c>
      <c r="U19" s="8">
        <v>3356</v>
      </c>
      <c r="V19" s="8">
        <v>3356</v>
      </c>
      <c r="W19" s="471">
        <f t="shared" si="7"/>
        <v>198.96054874887034</v>
      </c>
      <c r="X19" s="470">
        <f t="shared" si="8"/>
        <v>132.64003437087959</v>
      </c>
      <c r="Y19" s="470">
        <v>308.17</v>
      </c>
      <c r="Z19" s="470">
        <f t="shared" si="9"/>
        <v>184.90200000000002</v>
      </c>
      <c r="AA19" s="470">
        <f t="shared" si="10"/>
        <v>123.268</v>
      </c>
      <c r="AB19">
        <v>225.89</v>
      </c>
      <c r="AC19">
        <f t="shared" si="11"/>
        <v>135.53399999999999</v>
      </c>
      <c r="AD19">
        <f t="shared" si="12"/>
        <v>90.355999999999995</v>
      </c>
      <c r="AE19">
        <v>466.25040000000001</v>
      </c>
      <c r="AF19">
        <f t="shared" si="13"/>
        <v>256.43772000000001</v>
      </c>
      <c r="AG19">
        <f t="shared" si="14"/>
        <v>153.86263200000002</v>
      </c>
      <c r="AH19">
        <f t="shared" si="15"/>
        <v>102.57508799999999</v>
      </c>
      <c r="AI19">
        <f t="shared" si="16"/>
        <v>209.81268</v>
      </c>
      <c r="AJ19">
        <f t="shared" si="17"/>
        <v>125.887608</v>
      </c>
      <c r="AK19">
        <f t="shared" si="18"/>
        <v>83.925072</v>
      </c>
      <c r="AL19">
        <f t="shared" si="19"/>
        <v>465.14159999999998</v>
      </c>
      <c r="AM19">
        <f t="shared" si="20"/>
        <v>211.42799999999997</v>
      </c>
      <c r="AN19">
        <f t="shared" si="21"/>
        <v>253.71360000000001</v>
      </c>
      <c r="AO19" s="470">
        <f>5102.9/67499*'AT-8_Hon_CCH_Pry'!D19</f>
        <v>253.71238685017553</v>
      </c>
    </row>
    <row r="20" spans="1:41" ht="14.25">
      <c r="A20" s="448">
        <v>7</v>
      </c>
      <c r="B20" s="385" t="s">
        <v>895</v>
      </c>
      <c r="C20" s="8">
        <v>3059</v>
      </c>
      <c r="D20" s="9">
        <v>3059</v>
      </c>
      <c r="E20" s="473">
        <v>181.35289589475397</v>
      </c>
      <c r="F20" s="473">
        <v>235.59879010422313</v>
      </c>
      <c r="G20" s="473">
        <f t="shared" si="0"/>
        <v>416.9516859989771</v>
      </c>
      <c r="H20" s="8">
        <v>-16.069999999999993</v>
      </c>
      <c r="I20" s="8">
        <v>-23.77000000000001</v>
      </c>
      <c r="J20" s="8">
        <f t="shared" si="1"/>
        <v>-39.840000000000003</v>
      </c>
      <c r="K20" s="473">
        <v>158.53609629535285</v>
      </c>
      <c r="L20" s="473">
        <v>95.121657777211709</v>
      </c>
      <c r="M20" s="472">
        <f t="shared" si="2"/>
        <v>253.65775407256456</v>
      </c>
      <c r="N20" s="473">
        <v>192.71700000000001</v>
      </c>
      <c r="O20" s="473">
        <v>231.26039999999998</v>
      </c>
      <c r="P20" s="472">
        <f t="shared" si="3"/>
        <v>423.97739999999999</v>
      </c>
      <c r="Q20" s="473">
        <f t="shared" si="4"/>
        <v>-50.250903704647158</v>
      </c>
      <c r="R20" s="473">
        <f t="shared" si="5"/>
        <v>-159.90874222278828</v>
      </c>
      <c r="S20" s="473">
        <f t="shared" si="6"/>
        <v>-210.15964592743543</v>
      </c>
      <c r="T20" s="448" t="s">
        <v>964</v>
      </c>
      <c r="U20" s="8">
        <v>3059</v>
      </c>
      <c r="V20" s="8">
        <v>3059</v>
      </c>
      <c r="W20" s="471">
        <f t="shared" si="7"/>
        <v>181.35289589475397</v>
      </c>
      <c r="X20" s="470">
        <f t="shared" si="8"/>
        <v>120.90162846856991</v>
      </c>
      <c r="Y20" s="470">
        <v>318.03000000000003</v>
      </c>
      <c r="Z20" s="470">
        <f t="shared" si="9"/>
        <v>190.81800000000004</v>
      </c>
      <c r="AA20" s="470">
        <f t="shared" si="10"/>
        <v>127.21199999999999</v>
      </c>
      <c r="AB20">
        <v>278.37</v>
      </c>
      <c r="AC20">
        <f t="shared" si="11"/>
        <v>167.02200000000002</v>
      </c>
      <c r="AD20">
        <f t="shared" si="12"/>
        <v>111.34799999999998</v>
      </c>
      <c r="AE20">
        <v>702.84059999999999</v>
      </c>
      <c r="AF20">
        <f t="shared" si="13"/>
        <v>386.56232999999997</v>
      </c>
      <c r="AG20">
        <f t="shared" si="14"/>
        <v>231.937398</v>
      </c>
      <c r="AH20">
        <f t="shared" si="15"/>
        <v>154.62493199999997</v>
      </c>
      <c r="AI20">
        <f t="shared" si="16"/>
        <v>316.27827000000002</v>
      </c>
      <c r="AJ20">
        <f t="shared" si="17"/>
        <v>189.76696200000001</v>
      </c>
      <c r="AK20">
        <f t="shared" si="18"/>
        <v>126.51130800000001</v>
      </c>
      <c r="AL20">
        <f t="shared" si="19"/>
        <v>423.97739999999999</v>
      </c>
      <c r="AM20">
        <f t="shared" si="20"/>
        <v>192.71700000000001</v>
      </c>
      <c r="AN20">
        <f t="shared" si="21"/>
        <v>231.26039999999998</v>
      </c>
      <c r="AO20" s="470">
        <f>5102.9/67499*'AT-8_Hon_CCH_Pry'!D20</f>
        <v>231.25929421176608</v>
      </c>
    </row>
    <row r="21" spans="1:41" ht="14.25">
      <c r="A21" s="448">
        <v>8</v>
      </c>
      <c r="B21" s="385" t="s">
        <v>896</v>
      </c>
      <c r="C21" s="8">
        <v>3406</v>
      </c>
      <c r="D21" s="9">
        <v>3406</v>
      </c>
      <c r="E21" s="473">
        <v>201.92480007111214</v>
      </c>
      <c r="F21" s="473">
        <v>258.28136802900764</v>
      </c>
      <c r="G21" s="473">
        <f t="shared" si="0"/>
        <v>460.20616810011978</v>
      </c>
      <c r="H21" s="8">
        <v>-33.390000000000015</v>
      </c>
      <c r="I21" s="8">
        <v>-33.390000000000015</v>
      </c>
      <c r="J21" s="8">
        <f t="shared" si="1"/>
        <v>-66.78000000000003</v>
      </c>
      <c r="K21" s="473">
        <v>118.68148855767571</v>
      </c>
      <c r="L21" s="473">
        <v>71.208893134605418</v>
      </c>
      <c r="M21" s="472">
        <f t="shared" si="2"/>
        <v>189.89038169228112</v>
      </c>
      <c r="N21" s="473">
        <v>214.578</v>
      </c>
      <c r="O21" s="473">
        <v>257.49360000000001</v>
      </c>
      <c r="P21" s="472">
        <f t="shared" si="3"/>
        <v>472.07159999999999</v>
      </c>
      <c r="Q21" s="473">
        <f t="shared" si="4"/>
        <v>-129.2865114423243</v>
      </c>
      <c r="R21" s="473">
        <f t="shared" si="5"/>
        <v>-219.67470686539463</v>
      </c>
      <c r="S21" s="473">
        <f t="shared" si="6"/>
        <v>-348.96121830771892</v>
      </c>
      <c r="T21" s="448" t="s">
        <v>964</v>
      </c>
      <c r="U21" s="8">
        <v>3406</v>
      </c>
      <c r="V21" s="8">
        <v>3406</v>
      </c>
      <c r="W21" s="471">
        <f t="shared" si="7"/>
        <v>201.92480007111214</v>
      </c>
      <c r="X21" s="470">
        <f t="shared" si="8"/>
        <v>134.61619698069603</v>
      </c>
      <c r="Y21" s="470">
        <v>238.08</v>
      </c>
      <c r="Z21" s="470">
        <f t="shared" si="9"/>
        <v>142.84800000000001</v>
      </c>
      <c r="AA21" s="470">
        <f t="shared" si="10"/>
        <v>95.231999999999999</v>
      </c>
      <c r="AB21">
        <v>165.22000000000003</v>
      </c>
      <c r="AC21">
        <f t="shared" si="11"/>
        <v>99.132000000000005</v>
      </c>
      <c r="AD21">
        <f t="shared" si="12"/>
        <v>66.088000000000022</v>
      </c>
      <c r="AE21">
        <v>487.31760000000003</v>
      </c>
      <c r="AF21">
        <f t="shared" si="13"/>
        <v>268.02467999999999</v>
      </c>
      <c r="AG21">
        <f t="shared" si="14"/>
        <v>160.814808</v>
      </c>
      <c r="AH21">
        <f t="shared" si="15"/>
        <v>107.20987199999999</v>
      </c>
      <c r="AI21">
        <f t="shared" si="16"/>
        <v>219.29292000000004</v>
      </c>
      <c r="AJ21">
        <f t="shared" si="17"/>
        <v>131.57575200000002</v>
      </c>
      <c r="AK21">
        <f t="shared" si="18"/>
        <v>87.717168000000015</v>
      </c>
      <c r="AL21">
        <f t="shared" si="19"/>
        <v>472.07159999999999</v>
      </c>
      <c r="AM21">
        <f t="shared" si="20"/>
        <v>214.578</v>
      </c>
      <c r="AN21">
        <f t="shared" si="21"/>
        <v>257.49360000000001</v>
      </c>
      <c r="AO21" s="470">
        <f>5102.9/67499*'AT-8_Hon_CCH_Pry'!D21</f>
        <v>257.49236877583365</v>
      </c>
    </row>
    <row r="22" spans="1:41" ht="14.25">
      <c r="A22" s="448">
        <v>9</v>
      </c>
      <c r="B22" s="385" t="s">
        <v>897</v>
      </c>
      <c r="C22" s="8">
        <v>1332</v>
      </c>
      <c r="D22" s="9">
        <v>1332</v>
      </c>
      <c r="E22" s="473">
        <v>78.967655224521835</v>
      </c>
      <c r="F22" s="473">
        <v>100.69871849953331</v>
      </c>
      <c r="G22" s="473">
        <f t="shared" si="0"/>
        <v>179.66637372405515</v>
      </c>
      <c r="H22" s="8">
        <v>-4.2600000000000051</v>
      </c>
      <c r="I22" s="8">
        <v>-5.6500000000000057</v>
      </c>
      <c r="J22" s="8">
        <f t="shared" si="1"/>
        <v>-9.9100000000000108</v>
      </c>
      <c r="K22" s="473">
        <v>82.131897071415679</v>
      </c>
      <c r="L22" s="473">
        <v>49.279138242849406</v>
      </c>
      <c r="M22" s="472">
        <f t="shared" si="2"/>
        <v>131.41103531426509</v>
      </c>
      <c r="N22" s="473">
        <v>83.915999999999997</v>
      </c>
      <c r="O22" s="473">
        <v>100.69919999999999</v>
      </c>
      <c r="P22" s="472">
        <f t="shared" si="3"/>
        <v>184.61519999999999</v>
      </c>
      <c r="Q22" s="473">
        <f t="shared" si="4"/>
        <v>-6.0441029285843229</v>
      </c>
      <c r="R22" s="473">
        <f t="shared" si="5"/>
        <v>-57.07006175715059</v>
      </c>
      <c r="S22" s="473">
        <f t="shared" si="6"/>
        <v>-63.114164685734906</v>
      </c>
      <c r="T22" s="448" t="s">
        <v>964</v>
      </c>
      <c r="U22" s="8">
        <v>1332</v>
      </c>
      <c r="V22" s="8">
        <v>1332</v>
      </c>
      <c r="W22" s="471">
        <f t="shared" si="7"/>
        <v>78.967655224521835</v>
      </c>
      <c r="X22" s="470">
        <f t="shared" si="8"/>
        <v>52.644971925510013</v>
      </c>
      <c r="Y22" s="470">
        <v>164.76</v>
      </c>
      <c r="Z22" s="470">
        <f t="shared" si="9"/>
        <v>98.85599999999998</v>
      </c>
      <c r="AA22" s="470">
        <f t="shared" si="10"/>
        <v>65.904000000000011</v>
      </c>
      <c r="AB22">
        <v>130.37</v>
      </c>
      <c r="AC22">
        <f t="shared" si="11"/>
        <v>78.222000000000008</v>
      </c>
      <c r="AD22">
        <f t="shared" si="12"/>
        <v>52.147999999999996</v>
      </c>
      <c r="AE22">
        <v>304.92</v>
      </c>
      <c r="AF22">
        <f t="shared" si="13"/>
        <v>167.70600000000002</v>
      </c>
      <c r="AG22">
        <f t="shared" si="14"/>
        <v>100.62360000000001</v>
      </c>
      <c r="AH22">
        <f t="shared" si="15"/>
        <v>67.082400000000007</v>
      </c>
      <c r="AI22">
        <f t="shared" si="16"/>
        <v>137.214</v>
      </c>
      <c r="AJ22">
        <f t="shared" si="17"/>
        <v>82.328400000000002</v>
      </c>
      <c r="AK22">
        <f t="shared" si="18"/>
        <v>54.885599999999997</v>
      </c>
      <c r="AL22">
        <f t="shared" si="19"/>
        <v>184.61519999999999</v>
      </c>
      <c r="AM22">
        <f t="shared" si="20"/>
        <v>83.915999999999997</v>
      </c>
      <c r="AN22">
        <f t="shared" si="21"/>
        <v>100.69919999999999</v>
      </c>
      <c r="AO22" s="470">
        <f>5102.9/67499*'AT-8_Hon_CCH_Pry'!D22</f>
        <v>100.69871849953331</v>
      </c>
    </row>
    <row r="23" spans="1:41" ht="14.25">
      <c r="A23" s="448">
        <v>10</v>
      </c>
      <c r="B23" s="385" t="s">
        <v>898</v>
      </c>
      <c r="C23" s="8">
        <v>1342</v>
      </c>
      <c r="D23" s="9">
        <v>1342</v>
      </c>
      <c r="E23" s="473">
        <v>79.560505488970193</v>
      </c>
      <c r="F23" s="473">
        <v>101.45471488466494</v>
      </c>
      <c r="G23" s="473">
        <f t="shared" si="0"/>
        <v>181.01522037363515</v>
      </c>
      <c r="H23" s="8">
        <v>-24.659999999999997</v>
      </c>
      <c r="I23" s="8">
        <v>-24.779999999999987</v>
      </c>
      <c r="J23" s="8">
        <f t="shared" si="1"/>
        <v>-49.439999999999984</v>
      </c>
      <c r="K23" s="473">
        <v>106.50826127870039</v>
      </c>
      <c r="L23" s="473">
        <v>63.904956767220227</v>
      </c>
      <c r="M23" s="472">
        <f t="shared" si="2"/>
        <v>170.41321804592062</v>
      </c>
      <c r="N23" s="473">
        <v>84.546000000000006</v>
      </c>
      <c r="O23" s="473">
        <v>101.4552</v>
      </c>
      <c r="P23" s="472">
        <f t="shared" si="3"/>
        <v>186.00120000000001</v>
      </c>
      <c r="Q23" s="473">
        <f t="shared" si="4"/>
        <v>-2.6977387212996149</v>
      </c>
      <c r="R23" s="473">
        <f t="shared" si="5"/>
        <v>-62.330243232779765</v>
      </c>
      <c r="S23" s="473">
        <f t="shared" si="6"/>
        <v>-65.02798195407938</v>
      </c>
      <c r="T23" s="448" t="s">
        <v>964</v>
      </c>
      <c r="U23" s="8">
        <v>1342</v>
      </c>
      <c r="V23" s="8">
        <v>1342</v>
      </c>
      <c r="W23" s="471">
        <f t="shared" si="7"/>
        <v>79.560505488970193</v>
      </c>
      <c r="X23" s="470">
        <f t="shared" si="8"/>
        <v>53.0402044474733</v>
      </c>
      <c r="Y23" s="470">
        <v>213.66</v>
      </c>
      <c r="Z23" s="470">
        <f t="shared" si="9"/>
        <v>128.196</v>
      </c>
      <c r="AA23" s="470">
        <f t="shared" si="10"/>
        <v>85.463999999999999</v>
      </c>
      <c r="AB23">
        <v>173.84000000000003</v>
      </c>
      <c r="AC23">
        <f t="shared" si="11"/>
        <v>104.30400000000002</v>
      </c>
      <c r="AD23">
        <f t="shared" si="12"/>
        <v>69.536000000000016</v>
      </c>
      <c r="AE23">
        <v>441.16379999999998</v>
      </c>
      <c r="AF23">
        <f t="shared" si="13"/>
        <v>242.64008999999999</v>
      </c>
      <c r="AG23">
        <f t="shared" si="14"/>
        <v>145.58405400000001</v>
      </c>
      <c r="AH23">
        <f t="shared" si="15"/>
        <v>97.056035999999978</v>
      </c>
      <c r="AI23">
        <f t="shared" si="16"/>
        <v>198.52370999999999</v>
      </c>
      <c r="AJ23">
        <f t="shared" si="17"/>
        <v>119.11422599999999</v>
      </c>
      <c r="AK23">
        <f t="shared" si="18"/>
        <v>79.409484000000006</v>
      </c>
      <c r="AL23">
        <f t="shared" si="19"/>
        <v>186.00120000000001</v>
      </c>
      <c r="AM23">
        <f t="shared" si="20"/>
        <v>84.546000000000006</v>
      </c>
      <c r="AN23">
        <f t="shared" si="21"/>
        <v>101.4552</v>
      </c>
      <c r="AO23" s="470">
        <f>5102.9/67499*'AT-8_Hon_CCH_Pry'!D23</f>
        <v>101.45471488466494</v>
      </c>
    </row>
    <row r="24" spans="1:41" ht="14.25">
      <c r="A24" s="448">
        <v>11</v>
      </c>
      <c r="B24" s="385" t="s">
        <v>899</v>
      </c>
      <c r="C24" s="8">
        <v>1308</v>
      </c>
      <c r="D24" s="9">
        <v>1308</v>
      </c>
      <c r="E24" s="473">
        <v>77.544814589845771</v>
      </c>
      <c r="F24" s="473">
        <v>100.17665353817482</v>
      </c>
      <c r="G24" s="473">
        <f t="shared" si="0"/>
        <v>177.7214681280206</v>
      </c>
      <c r="H24" s="8">
        <v>5.4399999999999835</v>
      </c>
      <c r="I24" s="8">
        <v>0.74999999999998579</v>
      </c>
      <c r="J24" s="8">
        <f t="shared" si="1"/>
        <v>6.1899999999999693</v>
      </c>
      <c r="K24" s="473">
        <v>92.68003340323871</v>
      </c>
      <c r="L24" s="473">
        <v>55.608020041943227</v>
      </c>
      <c r="M24" s="472">
        <f t="shared" si="2"/>
        <v>148.28805344518193</v>
      </c>
      <c r="N24" s="473">
        <v>82.404000000000011</v>
      </c>
      <c r="O24" s="473">
        <v>98.884799999999998</v>
      </c>
      <c r="P24" s="472">
        <f t="shared" si="3"/>
        <v>181.28880000000001</v>
      </c>
      <c r="Q24" s="473">
        <f t="shared" si="4"/>
        <v>15.716033403238683</v>
      </c>
      <c r="R24" s="473">
        <f t="shared" si="5"/>
        <v>-42.526779958056785</v>
      </c>
      <c r="S24" s="473">
        <f t="shared" si="6"/>
        <v>-26.81074655481811</v>
      </c>
      <c r="T24" s="448" t="s">
        <v>964</v>
      </c>
      <c r="U24" s="8">
        <v>1308</v>
      </c>
      <c r="V24" s="8">
        <v>1308</v>
      </c>
      <c r="W24" s="471">
        <f t="shared" si="7"/>
        <v>77.544814589845771</v>
      </c>
      <c r="X24" s="470">
        <f t="shared" si="8"/>
        <v>51.696413872798118</v>
      </c>
      <c r="Y24" s="470">
        <v>185.92000000000002</v>
      </c>
      <c r="Z24" s="470">
        <f t="shared" si="9"/>
        <v>111.55200000000001</v>
      </c>
      <c r="AA24" s="470">
        <f t="shared" si="10"/>
        <v>74.368000000000009</v>
      </c>
      <c r="AB24">
        <v>150.87</v>
      </c>
      <c r="AC24">
        <f t="shared" si="11"/>
        <v>90.522000000000006</v>
      </c>
      <c r="AD24">
        <f t="shared" si="12"/>
        <v>60.347999999999999</v>
      </c>
      <c r="AE24">
        <v>336.24360000000001</v>
      </c>
      <c r="AF24">
        <f t="shared" si="13"/>
        <v>184.93398000000002</v>
      </c>
      <c r="AG24">
        <f t="shared" si="14"/>
        <v>110.96038800000002</v>
      </c>
      <c r="AH24">
        <f t="shared" si="15"/>
        <v>73.973591999999996</v>
      </c>
      <c r="AI24">
        <f t="shared" si="16"/>
        <v>151.30962</v>
      </c>
      <c r="AJ24">
        <f t="shared" si="17"/>
        <v>90.785771999999994</v>
      </c>
      <c r="AK24">
        <f t="shared" si="18"/>
        <v>60.523848000000001</v>
      </c>
      <c r="AL24">
        <f t="shared" si="19"/>
        <v>181.28880000000001</v>
      </c>
      <c r="AM24">
        <f t="shared" si="20"/>
        <v>82.404000000000011</v>
      </c>
      <c r="AN24">
        <f t="shared" si="21"/>
        <v>98.884799999999998</v>
      </c>
      <c r="AO24" s="470">
        <f>5102.9/67499*'AT-8_Hon_CCH_Pry'!D24</f>
        <v>98.884327175217393</v>
      </c>
    </row>
    <row r="25" spans="1:41" ht="14.25">
      <c r="A25" s="448">
        <v>12</v>
      </c>
      <c r="B25" s="385" t="s">
        <v>900</v>
      </c>
      <c r="C25" s="8">
        <v>1771</v>
      </c>
      <c r="D25" s="9">
        <v>1771</v>
      </c>
      <c r="E25" s="473">
        <v>104.99378183380493</v>
      </c>
      <c r="F25" s="473">
        <v>133.88695980681194</v>
      </c>
      <c r="G25" s="473">
        <f t="shared" si="0"/>
        <v>238.88074164061686</v>
      </c>
      <c r="H25" s="8">
        <v>-10.290000000000006</v>
      </c>
      <c r="I25" s="8">
        <v>-8.2900000000000063</v>
      </c>
      <c r="J25" s="8">
        <f t="shared" si="1"/>
        <v>-18.580000000000013</v>
      </c>
      <c r="K25" s="473">
        <v>99.599132282525218</v>
      </c>
      <c r="L25" s="473">
        <v>59.759479369515127</v>
      </c>
      <c r="M25" s="472">
        <f t="shared" si="2"/>
        <v>159.35861165204034</v>
      </c>
      <c r="N25" s="473">
        <v>111.57300000000001</v>
      </c>
      <c r="O25" s="473">
        <v>133.88759999999999</v>
      </c>
      <c r="P25" s="472">
        <f t="shared" si="3"/>
        <v>245.4606</v>
      </c>
      <c r="Q25" s="473">
        <f t="shared" si="4"/>
        <v>-22.263867717474795</v>
      </c>
      <c r="R25" s="473">
        <f t="shared" si="5"/>
        <v>-82.418120630484879</v>
      </c>
      <c r="S25" s="473">
        <f t="shared" si="6"/>
        <v>-104.68198834795967</v>
      </c>
      <c r="T25" s="448" t="s">
        <v>964</v>
      </c>
      <c r="U25" s="8">
        <v>1771</v>
      </c>
      <c r="V25" s="8">
        <v>1771</v>
      </c>
      <c r="W25" s="471">
        <f t="shared" si="7"/>
        <v>104.99378183380493</v>
      </c>
      <c r="X25" s="470">
        <f t="shared" si="8"/>
        <v>69.995679639698366</v>
      </c>
      <c r="Y25" s="470">
        <v>199.8</v>
      </c>
      <c r="Z25" s="470">
        <f t="shared" si="9"/>
        <v>119.88</v>
      </c>
      <c r="AA25" s="470">
        <f t="shared" si="10"/>
        <v>79.920000000000016</v>
      </c>
      <c r="AB25">
        <v>154.53</v>
      </c>
      <c r="AC25">
        <f t="shared" si="11"/>
        <v>92.717999999999989</v>
      </c>
      <c r="AD25">
        <f t="shared" si="12"/>
        <v>61.812000000000012</v>
      </c>
      <c r="AE25">
        <v>397.78199999999998</v>
      </c>
      <c r="AF25">
        <f t="shared" si="13"/>
        <v>218.78009999999998</v>
      </c>
      <c r="AG25">
        <f t="shared" si="14"/>
        <v>131.26805999999999</v>
      </c>
      <c r="AH25">
        <f t="shared" si="15"/>
        <v>87.512039999999985</v>
      </c>
      <c r="AI25">
        <f t="shared" si="16"/>
        <v>179.00190000000001</v>
      </c>
      <c r="AJ25">
        <f t="shared" si="17"/>
        <v>107.40114</v>
      </c>
      <c r="AK25">
        <f t="shared" si="18"/>
        <v>71.600760000000008</v>
      </c>
      <c r="AL25">
        <f t="shared" si="19"/>
        <v>245.4606</v>
      </c>
      <c r="AM25">
        <f t="shared" si="20"/>
        <v>111.57300000000001</v>
      </c>
      <c r="AN25">
        <f t="shared" si="21"/>
        <v>133.88759999999999</v>
      </c>
      <c r="AO25" s="470">
        <f>5102.9/67499*'AT-8_Hon_CCH_Pry'!D25</f>
        <v>133.88695980681194</v>
      </c>
    </row>
    <row r="26" spans="1:41" ht="16.5" customHeight="1">
      <c r="A26" s="448">
        <v>13</v>
      </c>
      <c r="B26" s="385" t="s">
        <v>901</v>
      </c>
      <c r="C26" s="8">
        <v>1022</v>
      </c>
      <c r="D26" s="9">
        <v>1022</v>
      </c>
      <c r="E26" s="473">
        <v>60.58929702662261</v>
      </c>
      <c r="F26" s="473">
        <v>77.262830560452741</v>
      </c>
      <c r="G26" s="473">
        <f t="shared" si="0"/>
        <v>137.85212758707536</v>
      </c>
      <c r="H26" s="8">
        <v>-12.799999999999997</v>
      </c>
      <c r="I26" s="8">
        <v>-13.36</v>
      </c>
      <c r="J26" s="8">
        <f t="shared" si="1"/>
        <v>-26.159999999999997</v>
      </c>
      <c r="K26" s="473">
        <v>109.71856364055957</v>
      </c>
      <c r="L26" s="473">
        <v>65.831138184335742</v>
      </c>
      <c r="M26" s="472">
        <f t="shared" si="2"/>
        <v>175.54970182489529</v>
      </c>
      <c r="N26" s="473">
        <v>64.385999999999996</v>
      </c>
      <c r="O26" s="473">
        <v>77.263200000000012</v>
      </c>
      <c r="P26" s="472">
        <f t="shared" si="3"/>
        <v>141.64920000000001</v>
      </c>
      <c r="Q26" s="473">
        <f t="shared" si="4"/>
        <v>32.532563640559573</v>
      </c>
      <c r="R26" s="473">
        <f t="shared" si="5"/>
        <v>-24.792061815664269</v>
      </c>
      <c r="S26" s="473">
        <f t="shared" si="6"/>
        <v>7.7405018248952899</v>
      </c>
      <c r="T26" s="448" t="s">
        <v>964</v>
      </c>
      <c r="U26" s="8">
        <v>1022</v>
      </c>
      <c r="V26" s="8">
        <v>1022</v>
      </c>
      <c r="W26" s="471">
        <f t="shared" si="7"/>
        <v>60.58929702662261</v>
      </c>
      <c r="X26" s="470">
        <f t="shared" si="8"/>
        <v>40.392763744648072</v>
      </c>
      <c r="Y26" s="470">
        <v>220.10000000000002</v>
      </c>
      <c r="Z26" s="470">
        <f t="shared" si="9"/>
        <v>132.06000000000003</v>
      </c>
      <c r="AA26" s="470">
        <f t="shared" si="10"/>
        <v>88.039999999999992</v>
      </c>
      <c r="AB26">
        <v>170.62</v>
      </c>
      <c r="AC26">
        <f t="shared" si="11"/>
        <v>102.37200000000001</v>
      </c>
      <c r="AD26">
        <f t="shared" si="12"/>
        <v>68.24799999999999</v>
      </c>
      <c r="AE26">
        <v>352.32120000000003</v>
      </c>
      <c r="AF26">
        <f t="shared" si="13"/>
        <v>193.77666000000002</v>
      </c>
      <c r="AG26">
        <f t="shared" si="14"/>
        <v>116.26599600000002</v>
      </c>
      <c r="AH26">
        <f t="shared" si="15"/>
        <v>77.510664000000006</v>
      </c>
      <c r="AI26">
        <f t="shared" si="16"/>
        <v>158.54454000000001</v>
      </c>
      <c r="AJ26">
        <f t="shared" si="17"/>
        <v>95.12672400000001</v>
      </c>
      <c r="AK26">
        <f t="shared" si="18"/>
        <v>63.417816000000002</v>
      </c>
      <c r="AL26">
        <f t="shared" si="19"/>
        <v>141.64920000000001</v>
      </c>
      <c r="AM26">
        <f t="shared" si="20"/>
        <v>64.385999999999996</v>
      </c>
      <c r="AN26">
        <f t="shared" si="21"/>
        <v>77.263200000000012</v>
      </c>
      <c r="AO26" s="470">
        <f>5102.9/67499*'AT-8_Hon_CCH_Pry'!D26</f>
        <v>77.262830560452741</v>
      </c>
    </row>
    <row r="27" spans="1:41" ht="14.25">
      <c r="A27" s="448">
        <v>14</v>
      </c>
      <c r="B27" s="385" t="s">
        <v>902</v>
      </c>
      <c r="C27" s="8">
        <v>1896</v>
      </c>
      <c r="D27" s="9">
        <v>1896</v>
      </c>
      <c r="E27" s="473">
        <v>112.40441013940946</v>
      </c>
      <c r="F27" s="473">
        <v>144.05789669713357</v>
      </c>
      <c r="G27" s="473">
        <f t="shared" si="0"/>
        <v>256.46230683654301</v>
      </c>
      <c r="H27" s="8">
        <v>-50.08</v>
      </c>
      <c r="I27" s="8">
        <v>-48.959999999999994</v>
      </c>
      <c r="J27" s="8">
        <f t="shared" si="1"/>
        <v>-99.039999999999992</v>
      </c>
      <c r="K27" s="473">
        <v>151.56216305895381</v>
      </c>
      <c r="L27" s="473">
        <v>90.937297835372277</v>
      </c>
      <c r="M27" s="472">
        <f t="shared" si="2"/>
        <v>242.49946089432609</v>
      </c>
      <c r="N27" s="473">
        <v>119.44799999999999</v>
      </c>
      <c r="O27" s="473">
        <v>143.33760000000001</v>
      </c>
      <c r="P27" s="472">
        <f t="shared" si="3"/>
        <v>262.78559999999999</v>
      </c>
      <c r="Q27" s="473">
        <f t="shared" si="4"/>
        <v>-17.965836941046177</v>
      </c>
      <c r="R27" s="473">
        <f t="shared" si="5"/>
        <v>-101.36030216462773</v>
      </c>
      <c r="S27" s="473">
        <f t="shared" si="6"/>
        <v>-119.32613910567389</v>
      </c>
      <c r="T27" s="448" t="s">
        <v>964</v>
      </c>
      <c r="U27" s="8">
        <v>1896</v>
      </c>
      <c r="V27" s="8">
        <v>1896</v>
      </c>
      <c r="W27" s="471">
        <f t="shared" si="7"/>
        <v>112.40441013940946</v>
      </c>
      <c r="X27" s="470">
        <f t="shared" si="8"/>
        <v>74.93608616423947</v>
      </c>
      <c r="Y27" s="470">
        <v>304.04000000000002</v>
      </c>
      <c r="Z27" s="470">
        <f t="shared" si="9"/>
        <v>182.42400000000001</v>
      </c>
      <c r="AA27" s="470">
        <f t="shared" si="10"/>
        <v>121.61600000000001</v>
      </c>
      <c r="AB27">
        <v>257.09000000000003</v>
      </c>
      <c r="AC27">
        <f t="shared" si="11"/>
        <v>154.25400000000002</v>
      </c>
      <c r="AD27">
        <f t="shared" si="12"/>
        <v>102.83600000000001</v>
      </c>
      <c r="AE27">
        <v>509.90940000000001</v>
      </c>
      <c r="AF27">
        <f t="shared" si="13"/>
        <v>280.45017000000001</v>
      </c>
      <c r="AG27">
        <f t="shared" si="14"/>
        <v>168.27010200000001</v>
      </c>
      <c r="AH27">
        <f t="shared" si="15"/>
        <v>112.18006800000001</v>
      </c>
      <c r="AI27">
        <f t="shared" si="16"/>
        <v>229.45922999999999</v>
      </c>
      <c r="AJ27">
        <f t="shared" si="17"/>
        <v>137.67553799999999</v>
      </c>
      <c r="AK27">
        <f t="shared" si="18"/>
        <v>91.783692000000002</v>
      </c>
      <c r="AL27">
        <f t="shared" si="19"/>
        <v>262.78559999999999</v>
      </c>
      <c r="AM27">
        <f t="shared" si="20"/>
        <v>119.44799999999999</v>
      </c>
      <c r="AN27">
        <f t="shared" si="21"/>
        <v>143.33760000000001</v>
      </c>
      <c r="AO27" s="470">
        <f>5102.9/67499*'AT-8_Hon_CCH_Pry'!D27</f>
        <v>143.33691462095732</v>
      </c>
    </row>
    <row r="28" spans="1:41" ht="14.25">
      <c r="A28" s="448">
        <v>15</v>
      </c>
      <c r="B28" s="385" t="s">
        <v>903</v>
      </c>
      <c r="C28" s="8">
        <v>3100</v>
      </c>
      <c r="D28" s="9">
        <v>3100</v>
      </c>
      <c r="E28" s="473">
        <v>183.78358197899226</v>
      </c>
      <c r="F28" s="473">
        <v>234.5765343571986</v>
      </c>
      <c r="G28" s="473">
        <f t="shared" si="0"/>
        <v>418.36011633619086</v>
      </c>
      <c r="H28" s="8">
        <v>6.0300000000000011</v>
      </c>
      <c r="I28" s="8">
        <v>2.0999999999999943</v>
      </c>
      <c r="J28" s="8">
        <f t="shared" si="1"/>
        <v>8.1299999999999955</v>
      </c>
      <c r="K28" s="473">
        <v>108.01371362851634</v>
      </c>
      <c r="L28" s="473">
        <v>64.808228177109811</v>
      </c>
      <c r="M28" s="472">
        <f t="shared" si="2"/>
        <v>172.82194180562615</v>
      </c>
      <c r="N28" s="473">
        <v>195.3</v>
      </c>
      <c r="O28" s="473">
        <v>234.36</v>
      </c>
      <c r="P28" s="472">
        <f t="shared" si="3"/>
        <v>429.66</v>
      </c>
      <c r="Q28" s="473">
        <f t="shared" si="4"/>
        <v>-81.256286371483668</v>
      </c>
      <c r="R28" s="473">
        <f t="shared" si="5"/>
        <v>-167.45177182289021</v>
      </c>
      <c r="S28" s="473">
        <f t="shared" si="6"/>
        <v>-248.70805819437388</v>
      </c>
      <c r="T28" s="448" t="s">
        <v>964</v>
      </c>
      <c r="U28" s="8">
        <v>3100</v>
      </c>
      <c r="V28" s="8">
        <v>3100</v>
      </c>
      <c r="W28" s="471">
        <f t="shared" si="7"/>
        <v>183.78358197899226</v>
      </c>
      <c r="X28" s="470">
        <f t="shared" si="8"/>
        <v>122.52208180861939</v>
      </c>
      <c r="Y28" s="470">
        <v>216.68</v>
      </c>
      <c r="Z28" s="470">
        <f t="shared" si="9"/>
        <v>130.00800000000001</v>
      </c>
      <c r="AA28" s="470">
        <f t="shared" si="10"/>
        <v>86.671999999999997</v>
      </c>
      <c r="AB28">
        <v>184.72000000000003</v>
      </c>
      <c r="AC28">
        <f t="shared" si="11"/>
        <v>110.83200000000001</v>
      </c>
      <c r="AD28">
        <f t="shared" si="12"/>
        <v>73.888000000000019</v>
      </c>
      <c r="AE28">
        <v>431.73900000000003</v>
      </c>
      <c r="AF28">
        <f t="shared" si="13"/>
        <v>237.45645000000002</v>
      </c>
      <c r="AG28">
        <f t="shared" si="14"/>
        <v>142.47387000000001</v>
      </c>
      <c r="AH28">
        <f t="shared" si="15"/>
        <v>94.982580000000013</v>
      </c>
      <c r="AI28">
        <f t="shared" si="16"/>
        <v>194.28255000000001</v>
      </c>
      <c r="AJ28">
        <f t="shared" si="17"/>
        <v>116.56953</v>
      </c>
      <c r="AK28">
        <f t="shared" si="18"/>
        <v>77.713020000000014</v>
      </c>
      <c r="AL28">
        <f t="shared" si="19"/>
        <v>429.66</v>
      </c>
      <c r="AM28">
        <f t="shared" si="20"/>
        <v>195.3</v>
      </c>
      <c r="AN28">
        <f t="shared" si="21"/>
        <v>234.36</v>
      </c>
      <c r="AO28" s="470">
        <f>5102.9/67499*'AT-8_Hon_CCH_Pry'!D28</f>
        <v>234.35887939080575</v>
      </c>
    </row>
    <row r="29" spans="1:41" ht="14.25">
      <c r="A29" s="448">
        <v>16</v>
      </c>
      <c r="B29" s="385" t="s">
        <v>904</v>
      </c>
      <c r="C29" s="8">
        <v>1288</v>
      </c>
      <c r="D29" s="9">
        <v>1288</v>
      </c>
      <c r="E29" s="473">
        <v>76.35911406094904</v>
      </c>
      <c r="F29" s="473">
        <v>98.134126787329038</v>
      </c>
      <c r="G29" s="473">
        <f t="shared" si="0"/>
        <v>174.49324084827808</v>
      </c>
      <c r="H29" s="8">
        <v>1.6199999999999903</v>
      </c>
      <c r="I29" s="8">
        <v>1.7299999999999898</v>
      </c>
      <c r="J29" s="8">
        <f t="shared" si="1"/>
        <v>3.3499999999999801</v>
      </c>
      <c r="K29" s="473">
        <v>81.653342682070232</v>
      </c>
      <c r="L29" s="473">
        <v>48.992005609242142</v>
      </c>
      <c r="M29" s="472">
        <f t="shared" si="2"/>
        <v>130.64534829131236</v>
      </c>
      <c r="N29" s="473">
        <v>81.144000000000005</v>
      </c>
      <c r="O29" s="473">
        <v>97.372799999999984</v>
      </c>
      <c r="P29" s="472">
        <f t="shared" si="3"/>
        <v>178.51679999999999</v>
      </c>
      <c r="Q29" s="473">
        <f t="shared" si="4"/>
        <v>2.1293426820702166</v>
      </c>
      <c r="R29" s="473">
        <f t="shared" si="5"/>
        <v>-46.650794390757852</v>
      </c>
      <c r="S29" s="473">
        <f t="shared" si="6"/>
        <v>-44.521451708687664</v>
      </c>
      <c r="T29" s="448" t="s">
        <v>964</v>
      </c>
      <c r="U29" s="8">
        <v>1288</v>
      </c>
      <c r="V29" s="8">
        <v>1288</v>
      </c>
      <c r="W29" s="471">
        <f t="shared" si="7"/>
        <v>76.35911406094904</v>
      </c>
      <c r="X29" s="470">
        <f t="shared" si="8"/>
        <v>50.905948828871544</v>
      </c>
      <c r="Y29" s="470">
        <v>163.80000000000001</v>
      </c>
      <c r="Z29" s="470">
        <f t="shared" si="9"/>
        <v>98.28</v>
      </c>
      <c r="AA29" s="470">
        <f t="shared" si="10"/>
        <v>65.52000000000001</v>
      </c>
      <c r="AB29">
        <v>144.72000000000003</v>
      </c>
      <c r="AC29">
        <f t="shared" si="11"/>
        <v>86.832000000000008</v>
      </c>
      <c r="AD29">
        <f t="shared" si="12"/>
        <v>57.888000000000019</v>
      </c>
      <c r="AE29">
        <v>297.57419999999996</v>
      </c>
      <c r="AF29">
        <f t="shared" si="13"/>
        <v>163.66580999999999</v>
      </c>
      <c r="AG29">
        <f t="shared" si="14"/>
        <v>98.199485999999993</v>
      </c>
      <c r="AH29">
        <f t="shared" si="15"/>
        <v>65.466324</v>
      </c>
      <c r="AI29">
        <f t="shared" si="16"/>
        <v>133.90838999999997</v>
      </c>
      <c r="AJ29">
        <f t="shared" si="17"/>
        <v>80.345033999999984</v>
      </c>
      <c r="AK29">
        <f t="shared" si="18"/>
        <v>53.563355999999985</v>
      </c>
      <c r="AL29">
        <f t="shared" si="19"/>
        <v>178.51679999999999</v>
      </c>
      <c r="AM29">
        <f t="shared" si="20"/>
        <v>81.144000000000005</v>
      </c>
      <c r="AN29">
        <f t="shared" si="21"/>
        <v>97.372799999999984</v>
      </c>
      <c r="AO29" s="470">
        <f>5102.9/67499*'AT-8_Hon_CCH_Pry'!D29</f>
        <v>97.372334404954131</v>
      </c>
    </row>
    <row r="30" spans="1:41" ht="14.25">
      <c r="A30" s="448">
        <v>17</v>
      </c>
      <c r="B30" s="385" t="s">
        <v>905</v>
      </c>
      <c r="C30" s="8">
        <v>1112</v>
      </c>
      <c r="D30" s="9">
        <v>1112</v>
      </c>
      <c r="E30" s="473">
        <v>65.924949406657873</v>
      </c>
      <c r="F30" s="473">
        <v>86.012089288773339</v>
      </c>
      <c r="G30" s="473">
        <f t="shared" si="0"/>
        <v>151.93703869543123</v>
      </c>
      <c r="H30" s="8">
        <v>27.390000000000029</v>
      </c>
      <c r="I30" s="8">
        <v>18.050000000000026</v>
      </c>
      <c r="J30" s="8">
        <f t="shared" si="1"/>
        <v>45.440000000000055</v>
      </c>
      <c r="K30" s="473">
        <v>141.73684325270469</v>
      </c>
      <c r="L30" s="473">
        <v>85.042105951622815</v>
      </c>
      <c r="M30" s="472">
        <f t="shared" si="2"/>
        <v>226.77894920432749</v>
      </c>
      <c r="N30" s="473">
        <v>70.055999999999997</v>
      </c>
      <c r="O30" s="473">
        <v>84.0672</v>
      </c>
      <c r="P30" s="472">
        <f t="shared" si="3"/>
        <v>154.1232</v>
      </c>
      <c r="Q30" s="473">
        <f t="shared" si="4"/>
        <v>99.070843252704705</v>
      </c>
      <c r="R30" s="473">
        <f t="shared" si="5"/>
        <v>19.024905951622841</v>
      </c>
      <c r="S30" s="473">
        <f t="shared" si="6"/>
        <v>118.09574920432755</v>
      </c>
      <c r="T30" s="448" t="s">
        <v>964</v>
      </c>
      <c r="U30" s="8">
        <v>1112</v>
      </c>
      <c r="V30" s="8">
        <v>1112</v>
      </c>
      <c r="W30" s="471">
        <f t="shared" si="7"/>
        <v>65.924949406657873</v>
      </c>
      <c r="X30" s="470">
        <f t="shared" si="8"/>
        <v>43.949856442317667</v>
      </c>
      <c r="Y30" s="470">
        <v>284.33</v>
      </c>
      <c r="Z30" s="470">
        <f t="shared" si="9"/>
        <v>170.59799999999998</v>
      </c>
      <c r="AA30" s="470">
        <f t="shared" si="10"/>
        <v>113.732</v>
      </c>
      <c r="AB30">
        <v>198.32000000000002</v>
      </c>
      <c r="AC30">
        <f t="shared" si="11"/>
        <v>118.992</v>
      </c>
      <c r="AD30">
        <f t="shared" si="12"/>
        <v>79.328000000000017</v>
      </c>
      <c r="AE30">
        <v>441.85680000000002</v>
      </c>
      <c r="AF30">
        <f t="shared" si="13"/>
        <v>243.02124000000001</v>
      </c>
      <c r="AG30">
        <f t="shared" si="14"/>
        <v>145.81274400000001</v>
      </c>
      <c r="AH30">
        <f t="shared" si="15"/>
        <v>97.208495999999997</v>
      </c>
      <c r="AI30">
        <f t="shared" si="16"/>
        <v>198.83556000000002</v>
      </c>
      <c r="AJ30">
        <f t="shared" si="17"/>
        <v>119.30133600000001</v>
      </c>
      <c r="AK30">
        <f t="shared" si="18"/>
        <v>79.534224000000009</v>
      </c>
      <c r="AL30">
        <f t="shared" si="19"/>
        <v>154.1232</v>
      </c>
      <c r="AM30">
        <f t="shared" si="20"/>
        <v>70.055999999999997</v>
      </c>
      <c r="AN30">
        <f t="shared" si="21"/>
        <v>84.0672</v>
      </c>
      <c r="AO30" s="470">
        <f>5102.9/67499*'AT-8_Hon_CCH_Pry'!D30</f>
        <v>84.066798026637414</v>
      </c>
    </row>
    <row r="31" spans="1:41" ht="14.25">
      <c r="A31" s="448">
        <v>18</v>
      </c>
      <c r="B31" s="385" t="s">
        <v>906</v>
      </c>
      <c r="C31" s="8">
        <v>1027</v>
      </c>
      <c r="D31" s="9">
        <v>1027</v>
      </c>
      <c r="E31" s="473">
        <v>60.885722158846789</v>
      </c>
      <c r="F31" s="473">
        <v>82.184376176468888</v>
      </c>
      <c r="G31" s="473">
        <f t="shared" si="0"/>
        <v>143.07009833531566</v>
      </c>
      <c r="H31" s="8">
        <v>40.969999999999985</v>
      </c>
      <c r="I31" s="8">
        <v>40.359999999999985</v>
      </c>
      <c r="J31" s="8">
        <f t="shared" si="1"/>
        <v>81.32999999999997</v>
      </c>
      <c r="K31" s="473">
        <v>78.243642657983784</v>
      </c>
      <c r="L31" s="473">
        <v>46.946185594790265</v>
      </c>
      <c r="M31" s="472">
        <f t="shared" si="2"/>
        <v>125.18982825277405</v>
      </c>
      <c r="N31" s="473">
        <v>64.700999999999993</v>
      </c>
      <c r="O31" s="473">
        <v>77.641199999999998</v>
      </c>
      <c r="P31" s="472">
        <f t="shared" si="3"/>
        <v>142.34219999999999</v>
      </c>
      <c r="Q31" s="473">
        <f t="shared" si="4"/>
        <v>54.512642657983776</v>
      </c>
      <c r="R31" s="473">
        <f t="shared" si="5"/>
        <v>9.6649855947902523</v>
      </c>
      <c r="S31" s="473">
        <f t="shared" si="6"/>
        <v>64.177628252774014</v>
      </c>
      <c r="T31" s="448" t="s">
        <v>964</v>
      </c>
      <c r="U31" s="8">
        <v>1027</v>
      </c>
      <c r="V31" s="8">
        <v>1027</v>
      </c>
      <c r="W31" s="471">
        <f t="shared" si="7"/>
        <v>60.885722158846789</v>
      </c>
      <c r="X31" s="470">
        <f t="shared" si="8"/>
        <v>40.590380005629719</v>
      </c>
      <c r="Y31" s="470">
        <v>156.96</v>
      </c>
      <c r="Z31" s="470">
        <f t="shared" si="9"/>
        <v>94.176000000000002</v>
      </c>
      <c r="AA31" s="470">
        <f t="shared" si="10"/>
        <v>62.784000000000006</v>
      </c>
      <c r="AB31">
        <v>127.87</v>
      </c>
      <c r="AC31">
        <f t="shared" si="11"/>
        <v>76.722000000000008</v>
      </c>
      <c r="AD31">
        <f t="shared" si="12"/>
        <v>51.147999999999996</v>
      </c>
      <c r="AE31">
        <v>279.97200000000004</v>
      </c>
      <c r="AF31">
        <f t="shared" si="13"/>
        <v>153.98460000000003</v>
      </c>
      <c r="AG31">
        <f t="shared" si="14"/>
        <v>92.390760000000014</v>
      </c>
      <c r="AH31">
        <f t="shared" si="15"/>
        <v>61.593840000000014</v>
      </c>
      <c r="AI31">
        <f t="shared" si="16"/>
        <v>125.98740000000001</v>
      </c>
      <c r="AJ31">
        <f t="shared" si="17"/>
        <v>75.592439999999996</v>
      </c>
      <c r="AK31">
        <f t="shared" si="18"/>
        <v>50.394960000000012</v>
      </c>
      <c r="AL31">
        <f t="shared" si="19"/>
        <v>142.34219999999999</v>
      </c>
      <c r="AM31">
        <f t="shared" si="20"/>
        <v>64.700999999999993</v>
      </c>
      <c r="AN31">
        <f t="shared" si="21"/>
        <v>77.641199999999998</v>
      </c>
      <c r="AO31" s="470">
        <f>5102.9/67499*'AT-8_Hon_CCH_Pry'!D31</f>
        <v>77.640828753018553</v>
      </c>
    </row>
    <row r="32" spans="1:41" ht="14.25">
      <c r="A32" s="448">
        <v>19</v>
      </c>
      <c r="B32" s="385" t="s">
        <v>907</v>
      </c>
      <c r="C32" s="8">
        <v>2718</v>
      </c>
      <c r="D32" s="9">
        <v>2718</v>
      </c>
      <c r="E32" s="473">
        <v>161.13670187706484</v>
      </c>
      <c r="F32" s="473">
        <v>205.47981747877745</v>
      </c>
      <c r="G32" s="473">
        <f t="shared" si="0"/>
        <v>366.61651935584229</v>
      </c>
      <c r="H32" s="8">
        <v>2.6200000000000045</v>
      </c>
      <c r="I32" s="8">
        <v>-6.4399999999999977</v>
      </c>
      <c r="J32" s="8">
        <f t="shared" si="1"/>
        <v>-3.8199999999999932</v>
      </c>
      <c r="K32" s="473">
        <v>127.72915748123842</v>
      </c>
      <c r="L32" s="473">
        <v>76.637494488743044</v>
      </c>
      <c r="M32" s="472">
        <f t="shared" si="2"/>
        <v>204.36665196998146</v>
      </c>
      <c r="N32" s="473">
        <v>171.23400000000001</v>
      </c>
      <c r="O32" s="473">
        <v>205.48080000000002</v>
      </c>
      <c r="P32" s="472">
        <f t="shared" si="3"/>
        <v>376.71480000000003</v>
      </c>
      <c r="Q32" s="473">
        <f t="shared" si="4"/>
        <v>-40.884842518761587</v>
      </c>
      <c r="R32" s="473">
        <f t="shared" si="5"/>
        <v>-135.28330551125697</v>
      </c>
      <c r="S32" s="473">
        <f t="shared" si="6"/>
        <v>-176.16814803001856</v>
      </c>
      <c r="T32" s="448" t="s">
        <v>964</v>
      </c>
      <c r="U32" s="8">
        <v>2718</v>
      </c>
      <c r="V32" s="8">
        <v>2718</v>
      </c>
      <c r="W32" s="471">
        <f t="shared" si="7"/>
        <v>161.13670187706484</v>
      </c>
      <c r="X32" s="470">
        <f t="shared" si="8"/>
        <v>107.42419946962178</v>
      </c>
      <c r="Y32" s="470">
        <v>256.23</v>
      </c>
      <c r="Z32" s="470">
        <f t="shared" si="9"/>
        <v>153.738</v>
      </c>
      <c r="AA32" s="470">
        <f t="shared" si="10"/>
        <v>102.49200000000002</v>
      </c>
      <c r="AB32">
        <v>198.2</v>
      </c>
      <c r="AC32">
        <f t="shared" si="11"/>
        <v>118.92</v>
      </c>
      <c r="AD32">
        <f t="shared" si="12"/>
        <v>79.279999999999987</v>
      </c>
      <c r="AE32">
        <v>509.90940000000001</v>
      </c>
      <c r="AF32">
        <f t="shared" si="13"/>
        <v>280.45017000000001</v>
      </c>
      <c r="AG32">
        <f t="shared" si="14"/>
        <v>168.27010200000001</v>
      </c>
      <c r="AH32">
        <f t="shared" si="15"/>
        <v>112.18006800000001</v>
      </c>
      <c r="AI32">
        <f t="shared" si="16"/>
        <v>229.45922999999999</v>
      </c>
      <c r="AJ32">
        <f t="shared" si="17"/>
        <v>137.67553799999999</v>
      </c>
      <c r="AK32">
        <f t="shared" si="18"/>
        <v>91.783692000000002</v>
      </c>
      <c r="AL32">
        <f t="shared" si="19"/>
        <v>376.71480000000003</v>
      </c>
      <c r="AM32">
        <f t="shared" si="20"/>
        <v>171.23400000000001</v>
      </c>
      <c r="AN32">
        <f t="shared" si="21"/>
        <v>205.48080000000002</v>
      </c>
      <c r="AO32" s="470">
        <f>5102.9/67499*'AT-8_Hon_CCH_Pry'!D32</f>
        <v>205.47981747877745</v>
      </c>
    </row>
    <row r="33" spans="1:41" ht="14.25">
      <c r="A33" s="448">
        <v>20</v>
      </c>
      <c r="B33" s="385" t="s">
        <v>908</v>
      </c>
      <c r="C33" s="8">
        <v>1762</v>
      </c>
      <c r="D33" s="9">
        <v>1762</v>
      </c>
      <c r="E33" s="473">
        <v>104.46021659580141</v>
      </c>
      <c r="F33" s="473">
        <v>133.20656306019347</v>
      </c>
      <c r="G33" s="473">
        <f t="shared" si="0"/>
        <v>237.6667796559949</v>
      </c>
      <c r="H33" s="8">
        <v>15.570000000000022</v>
      </c>
      <c r="I33" s="8">
        <v>23.110000000000014</v>
      </c>
      <c r="J33" s="8">
        <f t="shared" si="1"/>
        <v>38.680000000000035</v>
      </c>
      <c r="K33" s="473">
        <v>151.53225340961973</v>
      </c>
      <c r="L33" s="473">
        <v>90.919352045771831</v>
      </c>
      <c r="M33" s="472">
        <f t="shared" si="2"/>
        <v>242.45160545539156</v>
      </c>
      <c r="N33" s="473">
        <v>111.006</v>
      </c>
      <c r="O33" s="473">
        <v>133.2072</v>
      </c>
      <c r="P33" s="472">
        <f t="shared" si="3"/>
        <v>244.2132</v>
      </c>
      <c r="Q33" s="473">
        <f t="shared" si="4"/>
        <v>56.096253409619749</v>
      </c>
      <c r="R33" s="473">
        <f t="shared" si="5"/>
        <v>-19.177847954228156</v>
      </c>
      <c r="S33" s="473">
        <f t="shared" si="6"/>
        <v>36.918405455391593</v>
      </c>
      <c r="T33" s="448" t="s">
        <v>964</v>
      </c>
      <c r="U33" s="8">
        <v>1762</v>
      </c>
      <c r="V33" s="8">
        <v>1762</v>
      </c>
      <c r="W33" s="471">
        <f t="shared" si="7"/>
        <v>104.46021659580141</v>
      </c>
      <c r="X33" s="470">
        <f t="shared" si="8"/>
        <v>69.639970369931405</v>
      </c>
      <c r="Y33" s="470">
        <v>303.98</v>
      </c>
      <c r="Z33" s="470">
        <f t="shared" si="9"/>
        <v>182.38800000000003</v>
      </c>
      <c r="AA33" s="470">
        <f t="shared" si="10"/>
        <v>121.59199999999998</v>
      </c>
      <c r="AB33">
        <v>205.59</v>
      </c>
      <c r="AC33">
        <f t="shared" si="11"/>
        <v>123.354</v>
      </c>
      <c r="AD33">
        <f t="shared" si="12"/>
        <v>82.236000000000004</v>
      </c>
      <c r="AE33">
        <v>407.06819999999999</v>
      </c>
      <c r="AF33">
        <f t="shared" si="13"/>
        <v>223.88750999999999</v>
      </c>
      <c r="AG33">
        <f t="shared" si="14"/>
        <v>134.332506</v>
      </c>
      <c r="AH33">
        <f t="shared" si="15"/>
        <v>89.555003999999997</v>
      </c>
      <c r="AI33">
        <f t="shared" si="16"/>
        <v>183.18069</v>
      </c>
      <c r="AJ33">
        <f t="shared" si="17"/>
        <v>109.90841399999999</v>
      </c>
      <c r="AK33">
        <f t="shared" si="18"/>
        <v>73.272276000000005</v>
      </c>
      <c r="AL33">
        <f t="shared" si="19"/>
        <v>244.2132</v>
      </c>
      <c r="AM33">
        <f t="shared" si="20"/>
        <v>111.006</v>
      </c>
      <c r="AN33">
        <f t="shared" si="21"/>
        <v>133.2072</v>
      </c>
      <c r="AO33" s="470">
        <f>5102.9/67499*'AT-8_Hon_CCH_Pry'!D33</f>
        <v>133.20656306019347</v>
      </c>
    </row>
    <row r="34" spans="1:41" ht="14.25">
      <c r="A34" s="448">
        <v>21</v>
      </c>
      <c r="B34" s="385" t="s">
        <v>909</v>
      </c>
      <c r="C34" s="8">
        <v>1431</v>
      </c>
      <c r="D34" s="9">
        <v>1431</v>
      </c>
      <c r="E34" s="473">
        <v>84.836872842560624</v>
      </c>
      <c r="F34" s="473">
        <v>110.2372014576688</v>
      </c>
      <c r="G34" s="473">
        <f t="shared" si="0"/>
        <v>195.07407430022943</v>
      </c>
      <c r="H34" s="8">
        <v>18.980000000000004</v>
      </c>
      <c r="I34" s="8">
        <v>14.370000000000005</v>
      </c>
      <c r="J34" s="8">
        <f t="shared" si="1"/>
        <v>33.350000000000009</v>
      </c>
      <c r="K34" s="473">
        <v>96.702881238674024</v>
      </c>
      <c r="L34" s="473">
        <v>58.021728743204413</v>
      </c>
      <c r="M34" s="472">
        <f t="shared" si="2"/>
        <v>154.72460998187844</v>
      </c>
      <c r="N34" s="473">
        <v>90.153000000000006</v>
      </c>
      <c r="O34" s="473">
        <v>108.1836</v>
      </c>
      <c r="P34" s="472">
        <f t="shared" si="3"/>
        <v>198.3366</v>
      </c>
      <c r="Q34" s="473">
        <f t="shared" si="4"/>
        <v>25.529881238674022</v>
      </c>
      <c r="R34" s="473">
        <f t="shared" si="5"/>
        <v>-35.791871256795574</v>
      </c>
      <c r="S34" s="473">
        <f t="shared" si="6"/>
        <v>-10.261990018121566</v>
      </c>
      <c r="T34" s="448" t="s">
        <v>964</v>
      </c>
      <c r="U34" s="8">
        <v>1431</v>
      </c>
      <c r="V34" s="8">
        <v>1431</v>
      </c>
      <c r="W34" s="471">
        <f t="shared" si="7"/>
        <v>84.836872842560624</v>
      </c>
      <c r="X34" s="470">
        <f t="shared" si="8"/>
        <v>56.557773892946564</v>
      </c>
      <c r="Y34" s="470">
        <v>193.99</v>
      </c>
      <c r="Z34" s="470">
        <f t="shared" si="9"/>
        <v>116.39400000000002</v>
      </c>
      <c r="AA34" s="470">
        <f t="shared" si="10"/>
        <v>77.595999999999989</v>
      </c>
      <c r="AB34">
        <v>160.34</v>
      </c>
      <c r="AC34">
        <f t="shared" si="11"/>
        <v>96.203999999999994</v>
      </c>
      <c r="AD34">
        <f t="shared" si="12"/>
        <v>64.13600000000001</v>
      </c>
      <c r="AE34">
        <v>341.92619999999999</v>
      </c>
      <c r="AF34">
        <f t="shared" si="13"/>
        <v>188.05940999999999</v>
      </c>
      <c r="AG34">
        <f t="shared" si="14"/>
        <v>112.835646</v>
      </c>
      <c r="AH34">
        <f t="shared" si="15"/>
        <v>75.223763999999989</v>
      </c>
      <c r="AI34">
        <f t="shared" si="16"/>
        <v>153.86679000000001</v>
      </c>
      <c r="AJ34">
        <f t="shared" si="17"/>
        <v>92.320074000000005</v>
      </c>
      <c r="AK34">
        <f t="shared" si="18"/>
        <v>61.546716000000004</v>
      </c>
      <c r="AL34">
        <f t="shared" si="19"/>
        <v>198.3366</v>
      </c>
      <c r="AM34">
        <f t="shared" si="20"/>
        <v>90.153000000000006</v>
      </c>
      <c r="AN34">
        <f t="shared" si="21"/>
        <v>108.1836</v>
      </c>
      <c r="AO34" s="470">
        <f>5102.9/67499*'AT-8_Hon_CCH_Pry'!D34</f>
        <v>108.18308271233647</v>
      </c>
    </row>
    <row r="35" spans="1:41" ht="14.25">
      <c r="A35" s="448">
        <v>22</v>
      </c>
      <c r="B35" s="385" t="s">
        <v>910</v>
      </c>
      <c r="C35" s="8">
        <v>3031</v>
      </c>
      <c r="D35" s="9">
        <v>3031</v>
      </c>
      <c r="E35" s="473">
        <v>179.69291515429856</v>
      </c>
      <c r="F35" s="473">
        <v>231.69995018851327</v>
      </c>
      <c r="G35" s="473">
        <f t="shared" si="0"/>
        <v>411.39286534281183</v>
      </c>
      <c r="H35" s="8">
        <v>-1.8100000000000023</v>
      </c>
      <c r="I35" s="8">
        <v>-7.0600000000000023</v>
      </c>
      <c r="J35" s="8">
        <f t="shared" si="1"/>
        <v>-8.8700000000000045</v>
      </c>
      <c r="K35" s="473">
        <v>160.45529879429037</v>
      </c>
      <c r="L35" s="473">
        <v>96.273179276574226</v>
      </c>
      <c r="M35" s="472">
        <f t="shared" si="2"/>
        <v>256.72847807086458</v>
      </c>
      <c r="N35" s="473">
        <v>190.953</v>
      </c>
      <c r="O35" s="473">
        <v>229.14360000000002</v>
      </c>
      <c r="P35" s="472">
        <f t="shared" si="3"/>
        <v>420.09660000000002</v>
      </c>
      <c r="Q35" s="473">
        <f t="shared" si="4"/>
        <v>-32.307701205709634</v>
      </c>
      <c r="R35" s="473">
        <f t="shared" si="5"/>
        <v>-139.93042072342581</v>
      </c>
      <c r="S35" s="473">
        <f t="shared" si="6"/>
        <v>-172.23812192913545</v>
      </c>
      <c r="T35" s="448" t="s">
        <v>964</v>
      </c>
      <c r="U35" s="8">
        <v>3031</v>
      </c>
      <c r="V35" s="8">
        <v>3031</v>
      </c>
      <c r="W35" s="471">
        <f t="shared" si="7"/>
        <v>179.69291515429856</v>
      </c>
      <c r="X35" s="470">
        <f t="shared" si="8"/>
        <v>119.79497740707271</v>
      </c>
      <c r="Y35" s="470">
        <v>321.88</v>
      </c>
      <c r="Z35" s="470">
        <f t="shared" si="9"/>
        <v>193.12799999999999</v>
      </c>
      <c r="AA35" s="470">
        <f t="shared" si="10"/>
        <v>128.75200000000001</v>
      </c>
      <c r="AB35">
        <v>242.54</v>
      </c>
      <c r="AC35">
        <f t="shared" si="11"/>
        <v>145.524</v>
      </c>
      <c r="AD35">
        <f t="shared" si="12"/>
        <v>97.015999999999991</v>
      </c>
      <c r="AE35">
        <v>702.00900000000001</v>
      </c>
      <c r="AF35">
        <f t="shared" si="13"/>
        <v>386.10495000000003</v>
      </c>
      <c r="AG35">
        <f t="shared" si="14"/>
        <v>231.66297000000003</v>
      </c>
      <c r="AH35">
        <f t="shared" si="15"/>
        <v>154.44198</v>
      </c>
      <c r="AI35">
        <f t="shared" si="16"/>
        <v>315.90404999999998</v>
      </c>
      <c r="AJ35">
        <f t="shared" si="17"/>
        <v>189.54243</v>
      </c>
      <c r="AK35">
        <f t="shared" si="18"/>
        <v>126.36161999999999</v>
      </c>
      <c r="AL35">
        <f t="shared" si="19"/>
        <v>420.09660000000002</v>
      </c>
      <c r="AM35">
        <f t="shared" si="20"/>
        <v>190.953</v>
      </c>
      <c r="AN35">
        <f t="shared" si="21"/>
        <v>229.14360000000002</v>
      </c>
      <c r="AO35" s="470">
        <f>5102.9/67499*'AT-8_Hon_CCH_Pry'!D35</f>
        <v>229.14250433339751</v>
      </c>
    </row>
    <row r="36" spans="1:41" ht="14.25">
      <c r="A36" s="448">
        <v>23</v>
      </c>
      <c r="B36" s="385" t="s">
        <v>911</v>
      </c>
      <c r="C36" s="8">
        <v>1393</v>
      </c>
      <c r="D36" s="9">
        <v>1393</v>
      </c>
      <c r="E36" s="473">
        <v>82.584041837656841</v>
      </c>
      <c r="F36" s="473">
        <v>105.31029644883627</v>
      </c>
      <c r="G36" s="473">
        <f t="shared" si="0"/>
        <v>187.89433828649311</v>
      </c>
      <c r="H36" s="8">
        <v>8.019999999999996</v>
      </c>
      <c r="I36" s="8">
        <v>5.4799999999999898</v>
      </c>
      <c r="J36" s="8">
        <f t="shared" si="1"/>
        <v>13.499999999999986</v>
      </c>
      <c r="K36" s="473">
        <v>50.268150647496711</v>
      </c>
      <c r="L36" s="473">
        <v>30.160890388498029</v>
      </c>
      <c r="M36" s="472">
        <f t="shared" si="2"/>
        <v>80.429041035994743</v>
      </c>
      <c r="N36" s="473">
        <v>87.758999999999986</v>
      </c>
      <c r="O36" s="473">
        <v>105.3108</v>
      </c>
      <c r="P36" s="472">
        <f t="shared" si="3"/>
        <v>193.06979999999999</v>
      </c>
      <c r="Q36" s="473">
        <f t="shared" si="4"/>
        <v>-29.470849352503279</v>
      </c>
      <c r="R36" s="473">
        <f t="shared" si="5"/>
        <v>-69.669909611501978</v>
      </c>
      <c r="S36" s="473">
        <f t="shared" si="6"/>
        <v>-99.140758964005258</v>
      </c>
      <c r="T36" s="448" t="s">
        <v>964</v>
      </c>
      <c r="U36" s="8">
        <v>1393</v>
      </c>
      <c r="V36" s="8">
        <v>1393</v>
      </c>
      <c r="W36" s="471">
        <f t="shared" si="7"/>
        <v>82.584041837656841</v>
      </c>
      <c r="X36" s="470">
        <f t="shared" si="8"/>
        <v>55.055890309486067</v>
      </c>
      <c r="Y36" s="470">
        <v>100.84</v>
      </c>
      <c r="Z36" s="470">
        <f t="shared" si="9"/>
        <v>60.504000000000005</v>
      </c>
      <c r="AA36" s="470">
        <f t="shared" si="10"/>
        <v>40.335999999999999</v>
      </c>
      <c r="AB36">
        <v>94.82</v>
      </c>
      <c r="AC36">
        <f t="shared" si="11"/>
        <v>56.891999999999996</v>
      </c>
      <c r="AD36">
        <f t="shared" si="12"/>
        <v>37.927999999999997</v>
      </c>
      <c r="AE36">
        <v>284.40719999999999</v>
      </c>
      <c r="AF36">
        <f t="shared" si="13"/>
        <v>156.42395999999999</v>
      </c>
      <c r="AG36">
        <f t="shared" si="14"/>
        <v>93.854375999999988</v>
      </c>
      <c r="AH36">
        <f t="shared" si="15"/>
        <v>62.569584000000006</v>
      </c>
      <c r="AI36">
        <f t="shared" si="16"/>
        <v>127.98324</v>
      </c>
      <c r="AJ36">
        <f t="shared" si="17"/>
        <v>76.789943999999991</v>
      </c>
      <c r="AK36">
        <f t="shared" si="18"/>
        <v>51.193296000000004</v>
      </c>
      <c r="AL36">
        <f t="shared" si="19"/>
        <v>193.06979999999999</v>
      </c>
      <c r="AM36">
        <f t="shared" si="20"/>
        <v>87.758999999999986</v>
      </c>
      <c r="AN36">
        <f t="shared" si="21"/>
        <v>105.3108</v>
      </c>
      <c r="AO36" s="470">
        <f>5102.9/67499*'AT-8_Hon_CCH_Pry'!D36</f>
        <v>105.31029644883627</v>
      </c>
    </row>
    <row r="37" spans="1:41" ht="14.25">
      <c r="A37" s="448">
        <v>24</v>
      </c>
      <c r="B37" s="385" t="s">
        <v>912</v>
      </c>
      <c r="C37" s="8">
        <v>1235</v>
      </c>
      <c r="D37" s="9">
        <v>1235</v>
      </c>
      <c r="E37" s="473">
        <v>73.217007659372726</v>
      </c>
      <c r="F37" s="473">
        <v>93.365553563756492</v>
      </c>
      <c r="G37" s="473">
        <f t="shared" si="0"/>
        <v>166.58256122312923</v>
      </c>
      <c r="H37" s="8">
        <v>2.7600000000000051</v>
      </c>
      <c r="I37" s="8">
        <v>2.480000000000004</v>
      </c>
      <c r="J37" s="8">
        <f t="shared" si="1"/>
        <v>5.2400000000000091</v>
      </c>
      <c r="K37" s="473">
        <v>92.485620682567074</v>
      </c>
      <c r="L37" s="473">
        <v>55.491372409540247</v>
      </c>
      <c r="M37" s="472">
        <f t="shared" si="2"/>
        <v>147.97699309210731</v>
      </c>
      <c r="N37" s="473">
        <v>77.804999999999993</v>
      </c>
      <c r="O37" s="473">
        <v>93.366</v>
      </c>
      <c r="P37" s="472">
        <f t="shared" si="3"/>
        <v>171.17099999999999</v>
      </c>
      <c r="Q37" s="473">
        <f t="shared" si="4"/>
        <v>17.440620682567086</v>
      </c>
      <c r="R37" s="473">
        <f t="shared" si="5"/>
        <v>-35.394627590459748</v>
      </c>
      <c r="S37" s="473">
        <f t="shared" si="6"/>
        <v>-17.954006907892676</v>
      </c>
      <c r="T37" s="448" t="s">
        <v>964</v>
      </c>
      <c r="U37" s="8">
        <v>1235</v>
      </c>
      <c r="V37" s="8">
        <v>1235</v>
      </c>
      <c r="W37" s="471">
        <f t="shared" si="7"/>
        <v>73.217007659372726</v>
      </c>
      <c r="X37" s="470">
        <f t="shared" si="8"/>
        <v>48.811216462466113</v>
      </c>
      <c r="Y37" s="470">
        <v>185.53</v>
      </c>
      <c r="Z37" s="470">
        <f t="shared" si="9"/>
        <v>111.318</v>
      </c>
      <c r="AA37" s="470">
        <f t="shared" si="10"/>
        <v>74.212000000000003</v>
      </c>
      <c r="AB37">
        <v>123.83999999999999</v>
      </c>
      <c r="AC37">
        <f t="shared" si="11"/>
        <v>74.304000000000002</v>
      </c>
      <c r="AD37">
        <f t="shared" si="12"/>
        <v>49.535999999999987</v>
      </c>
      <c r="AE37">
        <v>283.71420000000001</v>
      </c>
      <c r="AF37">
        <f t="shared" si="13"/>
        <v>156.04281</v>
      </c>
      <c r="AG37">
        <f t="shared" si="14"/>
        <v>93.625686000000002</v>
      </c>
      <c r="AH37">
        <f t="shared" si="15"/>
        <v>62.417124000000001</v>
      </c>
      <c r="AI37">
        <f t="shared" si="16"/>
        <v>127.67139</v>
      </c>
      <c r="AJ37">
        <f t="shared" si="17"/>
        <v>76.602834000000001</v>
      </c>
      <c r="AK37">
        <f t="shared" si="18"/>
        <v>51.068556000000001</v>
      </c>
      <c r="AL37">
        <f t="shared" si="19"/>
        <v>171.17099999999999</v>
      </c>
      <c r="AM37">
        <f t="shared" si="20"/>
        <v>77.804999999999993</v>
      </c>
      <c r="AN37">
        <f t="shared" si="21"/>
        <v>93.366</v>
      </c>
      <c r="AO37" s="470">
        <f>5102.9/67499*'AT-8_Hon_CCH_Pry'!D37</f>
        <v>93.365553563756492</v>
      </c>
    </row>
    <row r="38" spans="1:41" ht="14.25">
      <c r="A38" s="448">
        <v>25</v>
      </c>
      <c r="B38" s="385" t="s">
        <v>913</v>
      </c>
      <c r="C38" s="8">
        <v>3233</v>
      </c>
      <c r="D38" s="9">
        <v>3233</v>
      </c>
      <c r="E38" s="473">
        <v>191.66849049615547</v>
      </c>
      <c r="F38" s="473">
        <v>245.06659621223497</v>
      </c>
      <c r="G38" s="473">
        <f t="shared" si="0"/>
        <v>436.73508670839044</v>
      </c>
      <c r="H38" s="8">
        <v>-62.820000000000022</v>
      </c>
      <c r="I38" s="8">
        <v>-62.820000000000022</v>
      </c>
      <c r="J38" s="8">
        <f t="shared" si="1"/>
        <v>-125.64000000000004</v>
      </c>
      <c r="K38" s="473">
        <v>155.77443867350502</v>
      </c>
      <c r="L38" s="473">
        <v>93.464663204103019</v>
      </c>
      <c r="M38" s="472">
        <f t="shared" si="2"/>
        <v>249.23910187760805</v>
      </c>
      <c r="N38" s="473">
        <v>203.679</v>
      </c>
      <c r="O38" s="473">
        <v>244.41479999999999</v>
      </c>
      <c r="P38" s="472">
        <f t="shared" si="3"/>
        <v>448.09379999999999</v>
      </c>
      <c r="Q38" s="473">
        <f t="shared" si="4"/>
        <v>-110.72456132649501</v>
      </c>
      <c r="R38" s="473">
        <f t="shared" si="5"/>
        <v>-213.77013679589697</v>
      </c>
      <c r="S38" s="473">
        <f t="shared" si="6"/>
        <v>-324.49469812239198</v>
      </c>
      <c r="T38" s="448" t="s">
        <v>964</v>
      </c>
      <c r="U38" s="8">
        <v>3233</v>
      </c>
      <c r="V38" s="8">
        <v>3233</v>
      </c>
      <c r="W38" s="471">
        <f t="shared" si="7"/>
        <v>191.66849049615547</v>
      </c>
      <c r="X38" s="470">
        <f t="shared" si="8"/>
        <v>127.77867435073112</v>
      </c>
      <c r="Y38" s="470">
        <v>312.48999999999995</v>
      </c>
      <c r="Z38" s="470">
        <f t="shared" si="9"/>
        <v>187.49399999999997</v>
      </c>
      <c r="AA38" s="470">
        <f t="shared" si="10"/>
        <v>124.99599999999998</v>
      </c>
      <c r="AB38">
        <v>248.57999999999998</v>
      </c>
      <c r="AC38">
        <f t="shared" si="11"/>
        <v>149.148</v>
      </c>
      <c r="AD38">
        <f t="shared" si="12"/>
        <v>99.431999999999988</v>
      </c>
      <c r="AE38">
        <v>746.91539999999998</v>
      </c>
      <c r="AF38">
        <f t="shared" si="13"/>
        <v>410.80347</v>
      </c>
      <c r="AG38">
        <f t="shared" si="14"/>
        <v>246.48208200000002</v>
      </c>
      <c r="AH38">
        <f t="shared" si="15"/>
        <v>164.32138799999998</v>
      </c>
      <c r="AI38">
        <f t="shared" si="16"/>
        <v>336.11192999999997</v>
      </c>
      <c r="AJ38">
        <f t="shared" si="17"/>
        <v>201.66715799999997</v>
      </c>
      <c r="AK38">
        <f t="shared" si="18"/>
        <v>134.444772</v>
      </c>
      <c r="AL38">
        <f t="shared" si="19"/>
        <v>448.09379999999999</v>
      </c>
      <c r="AM38">
        <f t="shared" si="20"/>
        <v>203.679</v>
      </c>
      <c r="AN38">
        <f t="shared" si="21"/>
        <v>244.41479999999999</v>
      </c>
      <c r="AO38" s="470">
        <f>5102.9/67499*'AT-8_Hon_CCH_Pry'!D38</f>
        <v>244.41363131305647</v>
      </c>
    </row>
    <row r="39" spans="1:41" ht="14.25">
      <c r="A39" s="448">
        <v>26</v>
      </c>
      <c r="B39" s="385" t="s">
        <v>914</v>
      </c>
      <c r="C39" s="8">
        <v>949</v>
      </c>
      <c r="D39" s="9">
        <v>949</v>
      </c>
      <c r="E39" s="473">
        <v>56.261490096149565</v>
      </c>
      <c r="F39" s="473">
        <v>71.744056948991826</v>
      </c>
      <c r="G39" s="473">
        <f t="shared" si="0"/>
        <v>128.00554704514138</v>
      </c>
      <c r="H39" s="8">
        <v>11.079999999999998</v>
      </c>
      <c r="I39" s="8">
        <v>6.1099999999999994</v>
      </c>
      <c r="J39" s="8">
        <f t="shared" si="1"/>
        <v>17.189999999999998</v>
      </c>
      <c r="K39" s="473">
        <v>102.68481110549233</v>
      </c>
      <c r="L39" s="473">
        <v>61.610886663295396</v>
      </c>
      <c r="M39" s="472">
        <f t="shared" si="2"/>
        <v>164.29569776878773</v>
      </c>
      <c r="N39" s="473">
        <v>59.786999999999999</v>
      </c>
      <c r="O39" s="473">
        <v>71.744399999999985</v>
      </c>
      <c r="P39" s="472">
        <f t="shared" si="3"/>
        <v>131.53139999999999</v>
      </c>
      <c r="Q39" s="473">
        <f t="shared" si="4"/>
        <v>53.977811105492329</v>
      </c>
      <c r="R39" s="473">
        <f t="shared" si="5"/>
        <v>-4.0235133367045819</v>
      </c>
      <c r="S39" s="473">
        <f t="shared" si="6"/>
        <v>49.95429776878774</v>
      </c>
      <c r="T39" s="448" t="s">
        <v>964</v>
      </c>
      <c r="U39" s="8">
        <v>949</v>
      </c>
      <c r="V39" s="8">
        <v>949</v>
      </c>
      <c r="W39" s="471">
        <f t="shared" si="7"/>
        <v>56.261490096149565</v>
      </c>
      <c r="X39" s="470">
        <f t="shared" si="8"/>
        <v>37.507566334316067</v>
      </c>
      <c r="Y39" s="470">
        <v>205.99</v>
      </c>
      <c r="Z39" s="470">
        <f t="shared" si="9"/>
        <v>123.59400000000001</v>
      </c>
      <c r="AA39" s="470">
        <f t="shared" si="10"/>
        <v>82.396000000000001</v>
      </c>
      <c r="AB39">
        <v>145.88</v>
      </c>
      <c r="AC39">
        <f t="shared" si="11"/>
        <v>87.527999999999992</v>
      </c>
      <c r="AD39">
        <f t="shared" si="12"/>
        <v>58.352000000000004</v>
      </c>
      <c r="AE39">
        <v>448.78679999999997</v>
      </c>
      <c r="AF39">
        <f t="shared" si="13"/>
        <v>246.83273999999997</v>
      </c>
      <c r="AG39">
        <f t="shared" si="14"/>
        <v>148.09964399999998</v>
      </c>
      <c r="AH39">
        <f t="shared" si="15"/>
        <v>98.733095999999989</v>
      </c>
      <c r="AI39">
        <f t="shared" si="16"/>
        <v>201.95406</v>
      </c>
      <c r="AJ39">
        <f t="shared" si="17"/>
        <v>121.17243599999999</v>
      </c>
      <c r="AK39">
        <f t="shared" si="18"/>
        <v>80.781624000000008</v>
      </c>
      <c r="AL39">
        <f t="shared" si="19"/>
        <v>131.53139999999999</v>
      </c>
      <c r="AM39">
        <f t="shared" si="20"/>
        <v>59.786999999999999</v>
      </c>
      <c r="AN39">
        <f t="shared" si="21"/>
        <v>71.744399999999985</v>
      </c>
      <c r="AO39" s="470">
        <f>5102.9/67499*'AT-8_Hon_CCH_Pry'!D39</f>
        <v>71.744056948991826</v>
      </c>
    </row>
    <row r="40" spans="1:41" ht="14.25">
      <c r="A40" s="448">
        <v>27</v>
      </c>
      <c r="B40" s="385" t="s">
        <v>915</v>
      </c>
      <c r="C40" s="8">
        <v>1493</v>
      </c>
      <c r="D40" s="9">
        <v>1493</v>
      </c>
      <c r="E40" s="473">
        <v>88.51254448214047</v>
      </c>
      <c r="F40" s="473">
        <v>112.87026030015258</v>
      </c>
      <c r="G40" s="473">
        <f t="shared" si="0"/>
        <v>201.38280478229305</v>
      </c>
      <c r="H40" s="8">
        <v>0.75999999999999091</v>
      </c>
      <c r="I40" s="8">
        <v>-10.800000000000011</v>
      </c>
      <c r="J40" s="8">
        <f t="shared" si="1"/>
        <v>-10.04000000000002</v>
      </c>
      <c r="K40" s="473">
        <v>82.799879239877058</v>
      </c>
      <c r="L40" s="473">
        <v>49.679927543926233</v>
      </c>
      <c r="M40" s="472">
        <f t="shared" si="2"/>
        <v>132.4798067838033</v>
      </c>
      <c r="N40" s="473">
        <v>94.058999999999997</v>
      </c>
      <c r="O40" s="473">
        <v>112.8708</v>
      </c>
      <c r="P40" s="472">
        <f t="shared" si="3"/>
        <v>206.9298</v>
      </c>
      <c r="Q40" s="473">
        <f t="shared" si="4"/>
        <v>-10.499120760122949</v>
      </c>
      <c r="R40" s="473">
        <f t="shared" si="5"/>
        <v>-73.990872456073788</v>
      </c>
      <c r="S40" s="473">
        <f t="shared" si="6"/>
        <v>-84.489993216196723</v>
      </c>
      <c r="T40" s="448" t="s">
        <v>964</v>
      </c>
      <c r="U40" s="8">
        <v>1493</v>
      </c>
      <c r="V40" s="8">
        <v>1493</v>
      </c>
      <c r="W40" s="471">
        <f t="shared" si="7"/>
        <v>88.51254448214047</v>
      </c>
      <c r="X40" s="470">
        <f t="shared" si="8"/>
        <v>59.008215529118957</v>
      </c>
      <c r="Y40" s="470">
        <v>166.1</v>
      </c>
      <c r="Z40" s="470">
        <f t="shared" si="9"/>
        <v>99.66</v>
      </c>
      <c r="AA40" s="470">
        <f t="shared" si="10"/>
        <v>66.44</v>
      </c>
      <c r="AB40">
        <v>129.85999999999999</v>
      </c>
      <c r="AC40">
        <f t="shared" si="11"/>
        <v>77.915999999999997</v>
      </c>
      <c r="AD40">
        <f t="shared" si="12"/>
        <v>51.943999999999988</v>
      </c>
      <c r="AE40">
        <v>319.47299999999996</v>
      </c>
      <c r="AF40">
        <f t="shared" si="13"/>
        <v>175.71015</v>
      </c>
      <c r="AG40">
        <f t="shared" si="14"/>
        <v>105.42609</v>
      </c>
      <c r="AH40">
        <f t="shared" si="15"/>
        <v>70.284059999999997</v>
      </c>
      <c r="AI40">
        <f t="shared" si="16"/>
        <v>143.76284999999996</v>
      </c>
      <c r="AJ40">
        <f t="shared" si="17"/>
        <v>86.257709999999975</v>
      </c>
      <c r="AK40">
        <f t="shared" si="18"/>
        <v>57.505139999999983</v>
      </c>
      <c r="AL40">
        <f t="shared" si="19"/>
        <v>206.9298</v>
      </c>
      <c r="AM40">
        <f t="shared" si="20"/>
        <v>94.058999999999997</v>
      </c>
      <c r="AN40">
        <f t="shared" si="21"/>
        <v>112.8708</v>
      </c>
      <c r="AO40" s="470">
        <f>5102.9/67499*'AT-8_Hon_CCH_Pry'!D40</f>
        <v>112.87026030015258</v>
      </c>
    </row>
    <row r="41" spans="1:41" ht="14.25">
      <c r="A41" s="448">
        <v>28</v>
      </c>
      <c r="B41" s="385" t="s">
        <v>916</v>
      </c>
      <c r="C41" s="8">
        <v>1411</v>
      </c>
      <c r="D41" s="9">
        <v>1411</v>
      </c>
      <c r="E41" s="473">
        <v>83.651172313663892</v>
      </c>
      <c r="F41" s="473">
        <v>106.67108994207319</v>
      </c>
      <c r="G41" s="473">
        <f t="shared" si="0"/>
        <v>190.32226225573709</v>
      </c>
      <c r="H41" s="8">
        <v>-0.73999999999999488</v>
      </c>
      <c r="I41" s="8">
        <v>-1.8199999999999932</v>
      </c>
      <c r="J41" s="8">
        <f t="shared" si="1"/>
        <v>-2.5599999999999881</v>
      </c>
      <c r="K41" s="473">
        <v>82.116942246748636</v>
      </c>
      <c r="L41" s="473">
        <v>49.270165348049176</v>
      </c>
      <c r="M41" s="472">
        <f t="shared" si="2"/>
        <v>131.38710759479781</v>
      </c>
      <c r="N41" s="473">
        <v>88.893000000000001</v>
      </c>
      <c r="O41" s="473">
        <v>106.67160000000001</v>
      </c>
      <c r="P41" s="472">
        <f t="shared" si="3"/>
        <v>195.56460000000001</v>
      </c>
      <c r="Q41" s="473">
        <f t="shared" si="4"/>
        <v>-7.5160577532513599</v>
      </c>
      <c r="R41" s="473">
        <f t="shared" si="5"/>
        <v>-59.22143465195083</v>
      </c>
      <c r="S41" s="473">
        <f t="shared" si="6"/>
        <v>-66.737492405202175</v>
      </c>
      <c r="T41" s="448" t="s">
        <v>964</v>
      </c>
      <c r="U41" s="8">
        <v>1411</v>
      </c>
      <c r="V41" s="8">
        <v>1411</v>
      </c>
      <c r="W41" s="471">
        <f t="shared" si="7"/>
        <v>83.651172313663892</v>
      </c>
      <c r="X41" s="470">
        <f t="shared" si="8"/>
        <v>55.76730884901999</v>
      </c>
      <c r="Y41" s="470">
        <v>164.73</v>
      </c>
      <c r="Z41" s="470">
        <f t="shared" si="9"/>
        <v>98.837999999999994</v>
      </c>
      <c r="AA41" s="470">
        <f t="shared" si="10"/>
        <v>65.891999999999996</v>
      </c>
      <c r="AB41">
        <v>137.80000000000001</v>
      </c>
      <c r="AC41">
        <f t="shared" si="11"/>
        <v>82.68</v>
      </c>
      <c r="AD41">
        <f t="shared" si="12"/>
        <v>55.120000000000005</v>
      </c>
      <c r="AE41">
        <v>326.12579999999997</v>
      </c>
      <c r="AF41">
        <f t="shared" si="13"/>
        <v>179.36918999999997</v>
      </c>
      <c r="AG41">
        <f t="shared" si="14"/>
        <v>107.62151399999999</v>
      </c>
      <c r="AH41">
        <f t="shared" si="15"/>
        <v>71.747675999999984</v>
      </c>
      <c r="AI41">
        <f t="shared" si="16"/>
        <v>146.75660999999999</v>
      </c>
      <c r="AJ41">
        <f t="shared" si="17"/>
        <v>88.053965999999988</v>
      </c>
      <c r="AK41">
        <f t="shared" si="18"/>
        <v>58.702644000000006</v>
      </c>
      <c r="AL41">
        <f t="shared" si="19"/>
        <v>195.56460000000001</v>
      </c>
      <c r="AM41">
        <f t="shared" si="20"/>
        <v>88.893000000000001</v>
      </c>
      <c r="AN41">
        <f t="shared" si="21"/>
        <v>106.67160000000001</v>
      </c>
      <c r="AO41" s="470">
        <f>5102.9/67499*'AT-8_Hon_CCH_Pry'!D41</f>
        <v>106.67108994207319</v>
      </c>
    </row>
    <row r="42" spans="1:41" ht="14.25">
      <c r="A42" s="448">
        <v>29</v>
      </c>
      <c r="B42" s="385" t="s">
        <v>917</v>
      </c>
      <c r="C42" s="8">
        <v>1300</v>
      </c>
      <c r="D42" s="9">
        <v>1300</v>
      </c>
      <c r="E42" s="473">
        <v>77.070534378287078</v>
      </c>
      <c r="F42" s="473">
        <v>101.96606106039066</v>
      </c>
      <c r="G42" s="473">
        <f t="shared" si="0"/>
        <v>179.03659543867775</v>
      </c>
      <c r="H42" s="8">
        <v>2.8299999999999983</v>
      </c>
      <c r="I42" s="8">
        <v>5.0100000000000051</v>
      </c>
      <c r="J42" s="8">
        <f t="shared" si="1"/>
        <v>7.8400000000000034</v>
      </c>
      <c r="K42" s="473">
        <v>68.667569929518763</v>
      </c>
      <c r="L42" s="473">
        <v>41.200541957711259</v>
      </c>
      <c r="M42" s="472">
        <f t="shared" si="2"/>
        <v>109.86811188723001</v>
      </c>
      <c r="N42" s="473">
        <v>81.900000000000006</v>
      </c>
      <c r="O42" s="473">
        <v>98.28</v>
      </c>
      <c r="P42" s="472">
        <f t="shared" si="3"/>
        <v>180.18</v>
      </c>
      <c r="Q42" s="473">
        <f t="shared" si="4"/>
        <v>-10.402430070481245</v>
      </c>
      <c r="R42" s="473">
        <f t="shared" si="5"/>
        <v>-52.069458042288737</v>
      </c>
      <c r="S42" s="473">
        <f t="shared" si="6"/>
        <v>-62.471888112769989</v>
      </c>
      <c r="T42" s="448" t="s">
        <v>964</v>
      </c>
      <c r="U42" s="8">
        <v>1300</v>
      </c>
      <c r="V42" s="8">
        <v>1300</v>
      </c>
      <c r="W42" s="471">
        <f t="shared" si="7"/>
        <v>77.070534378287078</v>
      </c>
      <c r="X42" s="470">
        <f t="shared" si="8"/>
        <v>51.380227855227488</v>
      </c>
      <c r="Y42" s="470">
        <v>137.75</v>
      </c>
      <c r="Z42" s="470">
        <f t="shared" si="9"/>
        <v>82.65</v>
      </c>
      <c r="AA42" s="470">
        <f t="shared" si="10"/>
        <v>55.099999999999994</v>
      </c>
      <c r="AB42">
        <v>106.67</v>
      </c>
      <c r="AC42">
        <f t="shared" si="11"/>
        <v>64.001999999999995</v>
      </c>
      <c r="AD42">
        <f t="shared" si="12"/>
        <v>42.668000000000006</v>
      </c>
      <c r="AE42">
        <v>259.04340000000002</v>
      </c>
      <c r="AF42">
        <f t="shared" si="13"/>
        <v>142.47387000000001</v>
      </c>
      <c r="AG42">
        <f t="shared" si="14"/>
        <v>85.484322000000006</v>
      </c>
      <c r="AH42">
        <f t="shared" si="15"/>
        <v>56.989547999999999</v>
      </c>
      <c r="AI42">
        <f t="shared" si="16"/>
        <v>116.56953000000001</v>
      </c>
      <c r="AJ42">
        <f t="shared" si="17"/>
        <v>69.941718000000009</v>
      </c>
      <c r="AK42">
        <f t="shared" si="18"/>
        <v>46.627812000000006</v>
      </c>
      <c r="AL42">
        <f t="shared" si="19"/>
        <v>180.18</v>
      </c>
      <c r="AM42">
        <f t="shared" si="20"/>
        <v>81.900000000000006</v>
      </c>
      <c r="AN42">
        <f t="shared" si="21"/>
        <v>98.28</v>
      </c>
      <c r="AO42" s="470">
        <f>5102.9/67499*'AT-8_Hon_CCH_Pry'!D42</f>
        <v>98.279530067112091</v>
      </c>
    </row>
    <row r="43" spans="1:41" ht="14.25">
      <c r="A43" s="448">
        <v>30</v>
      </c>
      <c r="B43" s="385" t="s">
        <v>918</v>
      </c>
      <c r="C43" s="8">
        <v>2013</v>
      </c>
      <c r="D43" s="9">
        <v>2013</v>
      </c>
      <c r="E43" s="473">
        <v>119.3407582334553</v>
      </c>
      <c r="F43" s="473">
        <v>152.18207232699743</v>
      </c>
      <c r="G43" s="473">
        <f t="shared" si="0"/>
        <v>271.52283056045275</v>
      </c>
      <c r="H43" s="8">
        <v>-5.5500000000000114</v>
      </c>
      <c r="I43" s="8">
        <v>-13.300000000000011</v>
      </c>
      <c r="J43" s="8">
        <f t="shared" si="1"/>
        <v>-18.850000000000023</v>
      </c>
      <c r="K43" s="473">
        <v>113.71150182666081</v>
      </c>
      <c r="L43" s="473">
        <v>68.226901095996482</v>
      </c>
      <c r="M43" s="472">
        <f t="shared" si="2"/>
        <v>181.9384029226573</v>
      </c>
      <c r="N43" s="473">
        <v>126.819</v>
      </c>
      <c r="O43" s="473">
        <v>152.18279999999999</v>
      </c>
      <c r="P43" s="472">
        <f t="shared" si="3"/>
        <v>279.0018</v>
      </c>
      <c r="Q43" s="473">
        <f t="shared" si="4"/>
        <v>-18.657498173339206</v>
      </c>
      <c r="R43" s="473">
        <f t="shared" si="5"/>
        <v>-97.255898904003516</v>
      </c>
      <c r="S43" s="473">
        <f t="shared" si="6"/>
        <v>-115.91339707734272</v>
      </c>
      <c r="T43" s="448" t="s">
        <v>964</v>
      </c>
      <c r="U43" s="8">
        <v>2013</v>
      </c>
      <c r="V43" s="8">
        <v>2013</v>
      </c>
      <c r="W43" s="471">
        <f t="shared" si="7"/>
        <v>119.3407582334553</v>
      </c>
      <c r="X43" s="470">
        <f t="shared" si="8"/>
        <v>79.560306671209943</v>
      </c>
      <c r="Y43" s="470">
        <v>228.11</v>
      </c>
      <c r="Z43" s="470">
        <f t="shared" si="9"/>
        <v>136.86600000000001</v>
      </c>
      <c r="AA43" s="470">
        <f t="shared" si="10"/>
        <v>91.244</v>
      </c>
      <c r="AB43">
        <v>187.2</v>
      </c>
      <c r="AC43">
        <f t="shared" si="11"/>
        <v>112.32</v>
      </c>
      <c r="AD43">
        <f t="shared" si="12"/>
        <v>74.88</v>
      </c>
      <c r="AE43">
        <v>459.7362</v>
      </c>
      <c r="AF43">
        <f t="shared" si="13"/>
        <v>252.85490999999999</v>
      </c>
      <c r="AG43">
        <f t="shared" si="14"/>
        <v>151.71294599999999</v>
      </c>
      <c r="AH43">
        <f t="shared" si="15"/>
        <v>101.141964</v>
      </c>
      <c r="AI43">
        <f t="shared" si="16"/>
        <v>206.88129000000001</v>
      </c>
      <c r="AJ43">
        <f t="shared" si="17"/>
        <v>124.12877399999999</v>
      </c>
      <c r="AK43">
        <f t="shared" si="18"/>
        <v>82.752516000000014</v>
      </c>
      <c r="AL43">
        <f t="shared" si="19"/>
        <v>279.0018</v>
      </c>
      <c r="AM43">
        <f t="shared" si="20"/>
        <v>126.819</v>
      </c>
      <c r="AN43">
        <f t="shared" si="21"/>
        <v>152.18279999999999</v>
      </c>
      <c r="AO43" s="470">
        <f>5102.9/67499*'AT-8_Hon_CCH_Pry'!D43</f>
        <v>152.18207232699743</v>
      </c>
    </row>
    <row r="44" spans="1:41" ht="14.25">
      <c r="A44" s="448">
        <v>31</v>
      </c>
      <c r="B44" s="385" t="s">
        <v>919</v>
      </c>
      <c r="C44" s="8">
        <v>926</v>
      </c>
      <c r="D44" s="9">
        <v>926</v>
      </c>
      <c r="E44" s="473">
        <v>54.897934487918334</v>
      </c>
      <c r="F44" s="473">
        <v>70.005265263189074</v>
      </c>
      <c r="G44" s="473">
        <f t="shared" si="0"/>
        <v>124.90319975110741</v>
      </c>
      <c r="H44" s="8">
        <v>-1.9200000000000017</v>
      </c>
      <c r="I44" s="8">
        <v>-1.9200000000000017</v>
      </c>
      <c r="J44" s="8">
        <f t="shared" si="1"/>
        <v>-3.8400000000000034</v>
      </c>
      <c r="K44" s="473">
        <v>79.783989598689502</v>
      </c>
      <c r="L44" s="473">
        <v>47.870393759213705</v>
      </c>
      <c r="M44" s="472">
        <f t="shared" si="2"/>
        <v>127.65438335790321</v>
      </c>
      <c r="N44" s="473">
        <v>58.338000000000008</v>
      </c>
      <c r="O44" s="473">
        <v>70.005600000000001</v>
      </c>
      <c r="P44" s="472">
        <f t="shared" si="3"/>
        <v>128.34360000000001</v>
      </c>
      <c r="Q44" s="473">
        <f t="shared" si="4"/>
        <v>19.525989598689492</v>
      </c>
      <c r="R44" s="473">
        <f t="shared" si="5"/>
        <v>-24.055206240786298</v>
      </c>
      <c r="S44" s="473">
        <f t="shared" si="6"/>
        <v>-4.5292166420967988</v>
      </c>
      <c r="T44" s="448" t="s">
        <v>964</v>
      </c>
      <c r="U44" s="8">
        <v>926</v>
      </c>
      <c r="V44" s="8">
        <v>926</v>
      </c>
      <c r="W44" s="471">
        <f t="shared" si="7"/>
        <v>54.897934487918334</v>
      </c>
      <c r="X44" s="470">
        <f t="shared" si="8"/>
        <v>36.598531533800504</v>
      </c>
      <c r="Y44" s="470">
        <v>160.05000000000001</v>
      </c>
      <c r="Z44" s="470">
        <f t="shared" si="9"/>
        <v>96.03</v>
      </c>
      <c r="AA44" s="470">
        <f t="shared" si="10"/>
        <v>64.02000000000001</v>
      </c>
      <c r="AB44">
        <v>143.35</v>
      </c>
      <c r="AC44">
        <f t="shared" si="11"/>
        <v>86.01</v>
      </c>
      <c r="AD44">
        <f t="shared" si="12"/>
        <v>57.339999999999989</v>
      </c>
      <c r="AE44">
        <v>236.59019999999998</v>
      </c>
      <c r="AF44">
        <f t="shared" si="13"/>
        <v>130.12460999999999</v>
      </c>
      <c r="AG44">
        <f t="shared" si="14"/>
        <v>78.074765999999997</v>
      </c>
      <c r="AH44">
        <f t="shared" si="15"/>
        <v>52.049843999999993</v>
      </c>
      <c r="AI44">
        <f t="shared" si="16"/>
        <v>106.46558999999999</v>
      </c>
      <c r="AJ44">
        <f t="shared" si="17"/>
        <v>63.879353999999992</v>
      </c>
      <c r="AK44">
        <f t="shared" si="18"/>
        <v>42.586236</v>
      </c>
      <c r="AL44">
        <f t="shared" si="19"/>
        <v>128.34360000000001</v>
      </c>
      <c r="AM44">
        <f t="shared" si="20"/>
        <v>58.338000000000008</v>
      </c>
      <c r="AN44">
        <f t="shared" si="21"/>
        <v>70.005600000000001</v>
      </c>
      <c r="AO44" s="470">
        <f>5102.9/67499*'AT-8_Hon_CCH_Pry'!D44</f>
        <v>70.005265263189074</v>
      </c>
    </row>
    <row r="45" spans="1:41" ht="14.25">
      <c r="A45" s="448">
        <v>32</v>
      </c>
      <c r="B45" s="385" t="s">
        <v>920</v>
      </c>
      <c r="C45" s="8">
        <v>1120</v>
      </c>
      <c r="D45" s="9">
        <v>1120</v>
      </c>
      <c r="E45" s="473">
        <v>66.399229618216566</v>
      </c>
      <c r="F45" s="473">
        <v>84.671595134742731</v>
      </c>
      <c r="G45" s="473">
        <f t="shared" si="0"/>
        <v>151.07082475295931</v>
      </c>
      <c r="H45" s="8">
        <v>3.2399999999999949</v>
      </c>
      <c r="I45" s="8">
        <v>-0.12000000000000455</v>
      </c>
      <c r="J45" s="8">
        <f t="shared" si="1"/>
        <v>3.1199999999999903</v>
      </c>
      <c r="K45" s="473">
        <v>89.016101359812453</v>
      </c>
      <c r="L45" s="473">
        <v>53.40966081588747</v>
      </c>
      <c r="M45" s="472">
        <f t="shared" si="2"/>
        <v>142.42576217569993</v>
      </c>
      <c r="N45" s="473">
        <v>70.56</v>
      </c>
      <c r="O45" s="473">
        <v>84.671999999999997</v>
      </c>
      <c r="P45" s="472">
        <f t="shared" si="3"/>
        <v>155.232</v>
      </c>
      <c r="Q45" s="473">
        <f t="shared" si="4"/>
        <v>21.696101359812445</v>
      </c>
      <c r="R45" s="473">
        <f t="shared" si="5"/>
        <v>-31.382339184112531</v>
      </c>
      <c r="S45" s="473">
        <f t="shared" si="6"/>
        <v>-9.6862378243000933</v>
      </c>
      <c r="T45" s="448" t="s">
        <v>964</v>
      </c>
      <c r="U45" s="8">
        <v>1120</v>
      </c>
      <c r="V45" s="8">
        <v>1120</v>
      </c>
      <c r="W45" s="471">
        <f t="shared" si="7"/>
        <v>66.399229618216566</v>
      </c>
      <c r="X45" s="470">
        <f t="shared" si="8"/>
        <v>44.266042459888297</v>
      </c>
      <c r="Y45" s="470">
        <v>178.57</v>
      </c>
      <c r="Z45" s="470">
        <f t="shared" si="9"/>
        <v>107.142</v>
      </c>
      <c r="AA45" s="470">
        <f t="shared" si="10"/>
        <v>71.427999999999997</v>
      </c>
      <c r="AB45">
        <v>138.37</v>
      </c>
      <c r="AC45">
        <f t="shared" si="11"/>
        <v>83.022000000000006</v>
      </c>
      <c r="AD45">
        <f t="shared" si="12"/>
        <v>55.347999999999999</v>
      </c>
      <c r="AE45">
        <v>354.26159999999999</v>
      </c>
      <c r="AF45">
        <f t="shared" si="13"/>
        <v>194.84387999999998</v>
      </c>
      <c r="AG45">
        <f t="shared" si="14"/>
        <v>116.90632799999999</v>
      </c>
      <c r="AH45">
        <f t="shared" si="15"/>
        <v>77.937551999999997</v>
      </c>
      <c r="AI45">
        <f t="shared" si="16"/>
        <v>159.41772</v>
      </c>
      <c r="AJ45">
        <f t="shared" si="17"/>
        <v>95.650632000000002</v>
      </c>
      <c r="AK45">
        <f t="shared" si="18"/>
        <v>63.767088000000001</v>
      </c>
      <c r="AL45">
        <f t="shared" si="19"/>
        <v>155.232</v>
      </c>
      <c r="AM45">
        <f t="shared" si="20"/>
        <v>70.56</v>
      </c>
      <c r="AN45">
        <f t="shared" si="21"/>
        <v>84.671999999999997</v>
      </c>
      <c r="AO45" s="470">
        <f>5102.9/67499*'AT-8_Hon_CCH_Pry'!D45</f>
        <v>84.671595134742731</v>
      </c>
    </row>
    <row r="46" spans="1:41" ht="14.25">
      <c r="A46" s="448">
        <v>33</v>
      </c>
      <c r="B46" s="385" t="s">
        <v>921</v>
      </c>
      <c r="C46" s="8">
        <v>4033</v>
      </c>
      <c r="D46" s="9">
        <v>4033</v>
      </c>
      <c r="E46" s="473">
        <v>239.09651165202445</v>
      </c>
      <c r="F46" s="473">
        <v>304.89334212358699</v>
      </c>
      <c r="G46" s="473">
        <f t="shared" si="0"/>
        <v>543.98985377561144</v>
      </c>
      <c r="H46" s="8">
        <v>-0.20999999999997954</v>
      </c>
      <c r="I46" s="8">
        <v>-5.1599999999999682</v>
      </c>
      <c r="J46" s="8">
        <f t="shared" si="1"/>
        <v>-5.3699999999999477</v>
      </c>
      <c r="K46" s="473">
        <v>217.67245797040775</v>
      </c>
      <c r="L46" s="473">
        <v>130.60347478224466</v>
      </c>
      <c r="M46" s="472">
        <f t="shared" si="2"/>
        <v>348.27593275265241</v>
      </c>
      <c r="N46" s="473">
        <v>254.07899999999998</v>
      </c>
      <c r="O46" s="473">
        <v>304.89480000000003</v>
      </c>
      <c r="P46" s="472">
        <f t="shared" si="3"/>
        <v>558.97379999999998</v>
      </c>
      <c r="Q46" s="473">
        <f t="shared" si="4"/>
        <v>-36.61654202959221</v>
      </c>
      <c r="R46" s="473">
        <f t="shared" si="5"/>
        <v>-179.45132521775534</v>
      </c>
      <c r="S46" s="473">
        <f t="shared" si="6"/>
        <v>-216.06786724734752</v>
      </c>
      <c r="T46" s="448" t="s">
        <v>964</v>
      </c>
      <c r="U46" s="8">
        <v>4033</v>
      </c>
      <c r="V46" s="8">
        <v>4033</v>
      </c>
      <c r="W46" s="471">
        <f t="shared" si="7"/>
        <v>239.09651165202445</v>
      </c>
      <c r="X46" s="470">
        <f t="shared" si="8"/>
        <v>159.3972761077942</v>
      </c>
      <c r="Y46" s="470">
        <v>436.66</v>
      </c>
      <c r="Z46" s="470">
        <f t="shared" si="9"/>
        <v>261.99600000000004</v>
      </c>
      <c r="AA46" s="470">
        <f t="shared" si="10"/>
        <v>174.66399999999999</v>
      </c>
      <c r="AB46">
        <v>360.34</v>
      </c>
      <c r="AC46">
        <f t="shared" si="11"/>
        <v>216.20399999999998</v>
      </c>
      <c r="AD46">
        <f t="shared" si="12"/>
        <v>144.136</v>
      </c>
      <c r="AE46">
        <v>931.66920000000005</v>
      </c>
      <c r="AF46">
        <f t="shared" si="13"/>
        <v>512.41806000000008</v>
      </c>
      <c r="AG46">
        <f t="shared" si="14"/>
        <v>307.45083600000004</v>
      </c>
      <c r="AH46">
        <f t="shared" si="15"/>
        <v>204.96722400000004</v>
      </c>
      <c r="AI46">
        <f t="shared" si="16"/>
        <v>419.25113999999996</v>
      </c>
      <c r="AJ46">
        <f t="shared" si="17"/>
        <v>251.55068399999996</v>
      </c>
      <c r="AK46">
        <f t="shared" si="18"/>
        <v>167.700456</v>
      </c>
      <c r="AL46">
        <f t="shared" si="19"/>
        <v>558.97379999999998</v>
      </c>
      <c r="AM46">
        <f t="shared" si="20"/>
        <v>254.07899999999998</v>
      </c>
      <c r="AN46">
        <f t="shared" si="21"/>
        <v>304.89480000000003</v>
      </c>
      <c r="AO46" s="470">
        <f>5102.9/67499*'AT-8_Hon_CCH_Pry'!D46</f>
        <v>304.89334212358699</v>
      </c>
    </row>
    <row r="47" spans="1:41">
      <c r="A47" s="30" t="s">
        <v>19</v>
      </c>
      <c r="B47" s="9"/>
      <c r="C47" s="8">
        <f>SUM(C14:C46)</f>
        <v>67499</v>
      </c>
      <c r="D47" s="8">
        <f t="shared" ref="D47:V47" si="22">SUM(D14:D46)</f>
        <v>67499</v>
      </c>
      <c r="E47" s="8">
        <f t="shared" si="22"/>
        <v>4001.6800000000003</v>
      </c>
      <c r="F47" s="8">
        <f t="shared" si="22"/>
        <v>5139.329999999999</v>
      </c>
      <c r="G47" s="473">
        <f t="shared" si="0"/>
        <v>9141.0099999999984</v>
      </c>
      <c r="H47" s="8">
        <f t="shared" si="22"/>
        <v>48.849999999999895</v>
      </c>
      <c r="I47" s="8">
        <f t="shared" si="22"/>
        <v>-48.370000000000104</v>
      </c>
      <c r="J47" s="8">
        <f t="shared" si="1"/>
        <v>0.47999999999979082</v>
      </c>
      <c r="K47" s="8">
        <f t="shared" si="22"/>
        <v>3952.9440000000004</v>
      </c>
      <c r="L47" s="8">
        <f t="shared" si="22"/>
        <v>2371.7663999999995</v>
      </c>
      <c r="M47" s="472">
        <f t="shared" si="2"/>
        <v>6324.7103999999999</v>
      </c>
      <c r="N47" s="8">
        <f t="shared" si="22"/>
        <v>4252.4369999999999</v>
      </c>
      <c r="O47" s="8">
        <f t="shared" si="22"/>
        <v>5102.9243999999971</v>
      </c>
      <c r="P47" s="472">
        <f t="shared" si="3"/>
        <v>9355.361399999998</v>
      </c>
      <c r="Q47" s="473">
        <f t="shared" si="4"/>
        <v>-250.64299999999957</v>
      </c>
      <c r="R47" s="473">
        <f t="shared" si="5"/>
        <v>-2779.5279999999975</v>
      </c>
      <c r="S47" s="473">
        <f t="shared" si="6"/>
        <v>-3030.1709999999985</v>
      </c>
      <c r="T47" s="8">
        <f t="shared" si="22"/>
        <v>0</v>
      </c>
      <c r="U47" s="8">
        <f t="shared" si="22"/>
        <v>67499</v>
      </c>
      <c r="V47" s="8">
        <f t="shared" si="22"/>
        <v>67499</v>
      </c>
      <c r="Y47" s="470">
        <v>7929.7699999999986</v>
      </c>
      <c r="AB47">
        <v>6229.6</v>
      </c>
      <c r="AE47">
        <v>15235.189200000001</v>
      </c>
    </row>
    <row r="52" spans="1:21">
      <c r="A52" s="14" t="s">
        <v>12</v>
      </c>
      <c r="B52" s="14"/>
      <c r="C52" s="14"/>
      <c r="D52" s="14"/>
      <c r="E52" s="14"/>
      <c r="F52" s="14"/>
      <c r="G52" s="14">
        <f>E47+'AT-8A_Hon_CCH_UPry'!E46</f>
        <v>6669.4800000000014</v>
      </c>
      <c r="H52" s="14"/>
      <c r="I52" s="14"/>
      <c r="J52" s="14"/>
      <c r="K52" s="14"/>
      <c r="L52" s="14"/>
      <c r="M52" s="14"/>
      <c r="N52" s="15"/>
      <c r="O52" s="15"/>
      <c r="P52" s="871" t="s">
        <v>13</v>
      </c>
      <c r="Q52" s="871"/>
      <c r="U52" s="14"/>
    </row>
    <row r="53" spans="1:21">
      <c r="A53" s="871" t="s">
        <v>14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</row>
    <row r="54" spans="1:21">
      <c r="A54" s="871" t="s">
        <v>20</v>
      </c>
      <c r="B54" s="871"/>
      <c r="C54" s="871"/>
      <c r="D54" s="871"/>
      <c r="E54" s="871"/>
      <c r="F54" s="871"/>
      <c r="G54" s="871"/>
      <c r="H54" s="871"/>
      <c r="I54" s="871"/>
      <c r="J54" s="871"/>
      <c r="K54" s="871"/>
      <c r="L54" s="871"/>
      <c r="M54" s="871"/>
      <c r="N54" s="871"/>
      <c r="O54" s="871"/>
      <c r="P54" s="871"/>
      <c r="Q54" s="871"/>
    </row>
    <row r="55" spans="1:21">
      <c r="O55" s="851" t="s">
        <v>87</v>
      </c>
      <c r="P55" s="851"/>
      <c r="Q55" s="851"/>
    </row>
  </sheetData>
  <mergeCells count="23">
    <mergeCell ref="Q1:V1"/>
    <mergeCell ref="O55:Q55"/>
    <mergeCell ref="P52:Q52"/>
    <mergeCell ref="A53:Q53"/>
    <mergeCell ref="A54:Q54"/>
    <mergeCell ref="H11:J11"/>
    <mergeCell ref="Q11:S11"/>
    <mergeCell ref="A3:Q3"/>
    <mergeCell ref="T11:T12"/>
    <mergeCell ref="K11:M11"/>
    <mergeCell ref="D11:D12"/>
    <mergeCell ref="P10:V10"/>
    <mergeCell ref="C11:C12"/>
    <mergeCell ref="B11:B12"/>
    <mergeCell ref="N11:P11"/>
    <mergeCell ref="U9:V9"/>
    <mergeCell ref="A5:Q5"/>
    <mergeCell ref="A8:S8"/>
    <mergeCell ref="A4:P4"/>
    <mergeCell ref="V11:V12"/>
    <mergeCell ref="U11:U12"/>
    <mergeCell ref="E11:G11"/>
    <mergeCell ref="A11:A12"/>
  </mergeCells>
  <printOptions horizontalCentered="1"/>
  <pageMargins left="0.70866141732283472" right="0.70866141732283472" top="0.23622047244094491" bottom="0" header="0.31496062992125984" footer="0.31496062992125984"/>
  <pageSetup paperSize="9" scale="5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C59"/>
  <sheetViews>
    <sheetView view="pageBreakPreview" topLeftCell="A28" zoomScale="88" zoomScaleNormal="80" zoomScaleSheetLayoutView="88" workbookViewId="0">
      <selection activeCell="I66" sqref="I66"/>
    </sheetView>
  </sheetViews>
  <sheetFormatPr defaultRowHeight="12.75"/>
  <cols>
    <col min="2" max="2" width="15.28515625" customWidth="1"/>
    <col min="3" max="3" width="14.7109375" customWidth="1"/>
    <col min="4" max="4" width="11.140625" customWidth="1"/>
    <col min="5" max="5" width="12.42578125" customWidth="1"/>
    <col min="6" max="6" width="12" customWidth="1"/>
    <col min="7" max="7" width="15.5703125" customWidth="1"/>
    <col min="10" max="10" width="12.28515625" customWidth="1"/>
    <col min="13" max="13" width="11.42578125" customWidth="1"/>
    <col min="16" max="16" width="13.5703125" customWidth="1"/>
    <col min="17" max="17" width="11.140625" customWidth="1"/>
    <col min="18" max="18" width="12.28515625" customWidth="1"/>
    <col min="19" max="19" width="10.7109375" customWidth="1"/>
    <col min="20" max="20" width="10.42578125" customWidth="1"/>
    <col min="21" max="21" width="11.140625" customWidth="1"/>
    <col min="22" max="22" width="11.85546875" customWidth="1"/>
  </cols>
  <sheetData>
    <row r="1" spans="1:29" ht="15">
      <c r="Q1" s="986" t="s">
        <v>207</v>
      </c>
      <c r="R1" s="986"/>
      <c r="S1" s="986"/>
      <c r="T1" s="986"/>
      <c r="U1" s="986"/>
      <c r="V1" s="986"/>
    </row>
    <row r="3" spans="1:29" ht="15">
      <c r="A3" s="932" t="s">
        <v>0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</row>
    <row r="4" spans="1:29" ht="20.25">
      <c r="A4" s="912" t="s">
        <v>705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44"/>
    </row>
    <row r="5" spans="1:29" ht="15.75">
      <c r="A5" s="983" t="s">
        <v>211</v>
      </c>
      <c r="B5" s="983"/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</row>
    <row r="6" spans="1:29">
      <c r="A6" s="36"/>
      <c r="B6" s="36"/>
      <c r="C6" s="17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7" spans="1:29" ht="15.75">
      <c r="A7" s="849" t="s">
        <v>854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</row>
    <row r="8" spans="1:29" ht="15.75">
      <c r="A8" s="4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990" t="s">
        <v>226</v>
      </c>
      <c r="Q8" s="990"/>
      <c r="R8" s="990"/>
      <c r="S8" s="990"/>
      <c r="T8" s="990"/>
      <c r="U8" s="990"/>
      <c r="V8" s="990"/>
    </row>
    <row r="9" spans="1:29">
      <c r="P9" s="922" t="s">
        <v>785</v>
      </c>
      <c r="Q9" s="922"/>
      <c r="R9" s="922"/>
      <c r="S9" s="922"/>
      <c r="T9" s="922"/>
      <c r="U9" s="922"/>
      <c r="V9" s="922"/>
    </row>
    <row r="10" spans="1:29" ht="28.5" customHeight="1">
      <c r="A10" s="984" t="s">
        <v>26</v>
      </c>
      <c r="B10" s="924" t="s">
        <v>205</v>
      </c>
      <c r="C10" s="924" t="s">
        <v>373</v>
      </c>
      <c r="D10" s="924" t="s">
        <v>478</v>
      </c>
      <c r="E10" s="852" t="s">
        <v>765</v>
      </c>
      <c r="F10" s="852"/>
      <c r="G10" s="852"/>
      <c r="H10" s="829" t="s">
        <v>796</v>
      </c>
      <c r="I10" s="855"/>
      <c r="J10" s="830"/>
      <c r="K10" s="885" t="s">
        <v>375</v>
      </c>
      <c r="L10" s="886"/>
      <c r="M10" s="960"/>
      <c r="N10" s="987" t="s">
        <v>159</v>
      </c>
      <c r="O10" s="988"/>
      <c r="P10" s="989"/>
      <c r="Q10" s="844" t="s">
        <v>797</v>
      </c>
      <c r="R10" s="844"/>
      <c r="S10" s="844"/>
      <c r="T10" s="924" t="s">
        <v>248</v>
      </c>
      <c r="U10" s="924" t="s">
        <v>428</v>
      </c>
      <c r="V10" s="924" t="s">
        <v>376</v>
      </c>
    </row>
    <row r="11" spans="1:29" ht="69" customHeight="1">
      <c r="A11" s="985"/>
      <c r="B11" s="925"/>
      <c r="C11" s="925"/>
      <c r="D11" s="925"/>
      <c r="E11" s="5" t="s">
        <v>180</v>
      </c>
      <c r="F11" s="5" t="s">
        <v>206</v>
      </c>
      <c r="G11" s="5" t="s">
        <v>19</v>
      </c>
      <c r="H11" s="5" t="s">
        <v>180</v>
      </c>
      <c r="I11" s="5" t="s">
        <v>206</v>
      </c>
      <c r="J11" s="5" t="s">
        <v>19</v>
      </c>
      <c r="K11" s="5" t="s">
        <v>180</v>
      </c>
      <c r="L11" s="5" t="s">
        <v>206</v>
      </c>
      <c r="M11" s="5" t="s">
        <v>19</v>
      </c>
      <c r="N11" s="5" t="s">
        <v>180</v>
      </c>
      <c r="O11" s="5" t="s">
        <v>206</v>
      </c>
      <c r="P11" s="5" t="s">
        <v>19</v>
      </c>
      <c r="Q11" s="5" t="s">
        <v>236</v>
      </c>
      <c r="R11" s="5" t="s">
        <v>218</v>
      </c>
      <c r="S11" s="5" t="s">
        <v>219</v>
      </c>
      <c r="T11" s="925"/>
      <c r="U11" s="925"/>
      <c r="V11" s="925"/>
    </row>
    <row r="12" spans="1:29">
      <c r="A12" s="170">
        <v>1</v>
      </c>
      <c r="B12" s="113">
        <v>2</v>
      </c>
      <c r="C12" s="8">
        <v>3</v>
      </c>
      <c r="D12" s="170">
        <v>4</v>
      </c>
      <c r="E12" s="113">
        <v>5</v>
      </c>
      <c r="F12" s="8">
        <v>6</v>
      </c>
      <c r="G12" s="170">
        <v>7</v>
      </c>
      <c r="H12" s="113">
        <v>8</v>
      </c>
      <c r="I12" s="8">
        <v>9</v>
      </c>
      <c r="J12" s="170">
        <v>10</v>
      </c>
      <c r="K12" s="113">
        <v>11</v>
      </c>
      <c r="L12" s="8">
        <v>12</v>
      </c>
      <c r="M12" s="170">
        <v>13</v>
      </c>
      <c r="N12" s="113">
        <v>14</v>
      </c>
      <c r="O12" s="8">
        <v>15</v>
      </c>
      <c r="P12" s="170">
        <v>16</v>
      </c>
      <c r="Q12" s="113">
        <v>17</v>
      </c>
      <c r="R12" s="8">
        <v>18</v>
      </c>
      <c r="S12" s="170">
        <v>19</v>
      </c>
      <c r="T12" s="113">
        <v>20</v>
      </c>
      <c r="U12" s="170">
        <v>21</v>
      </c>
      <c r="V12" s="113">
        <v>22</v>
      </c>
    </row>
    <row r="13" spans="1:29" ht="14.25">
      <c r="A13" s="448">
        <v>1</v>
      </c>
      <c r="B13" s="385" t="s">
        <v>889</v>
      </c>
      <c r="C13" s="8">
        <v>2730</v>
      </c>
      <c r="D13" s="9">
        <v>2730</v>
      </c>
      <c r="E13" s="473">
        <f>2667.8/42423*C13</f>
        <v>171.67795771161869</v>
      </c>
      <c r="F13" s="473">
        <v>206.37778092072696</v>
      </c>
      <c r="G13" s="473">
        <f>F13+E13</f>
        <v>378.05573863234565</v>
      </c>
      <c r="H13" s="8">
        <v>2.6299999999999955</v>
      </c>
      <c r="I13" s="8">
        <v>-3.2399999999999949</v>
      </c>
      <c r="J13" s="8">
        <f>I13+H13</f>
        <v>-0.60999999999999943</v>
      </c>
      <c r="K13" s="473">
        <v>84.833735394595294</v>
      </c>
      <c r="L13" s="473">
        <v>79.603999999999999</v>
      </c>
      <c r="M13" s="473">
        <f>L13+K13</f>
        <v>164.43773539459528</v>
      </c>
      <c r="N13" s="222">
        <v>171.99</v>
      </c>
      <c r="O13" s="671">
        <v>206.38799999999998</v>
      </c>
      <c r="P13" s="473">
        <f>O13+N13</f>
        <v>378.37799999999999</v>
      </c>
      <c r="Q13" s="473">
        <f>H13+K13-N13</f>
        <v>-84.52626460540472</v>
      </c>
      <c r="R13" s="473">
        <f>I13+L13-O13</f>
        <v>-130.02399999999997</v>
      </c>
      <c r="S13" s="473">
        <f>J13+M13-P13</f>
        <v>-214.55026460540472</v>
      </c>
      <c r="T13" s="19" t="s">
        <v>964</v>
      </c>
      <c r="U13" s="9">
        <v>2730</v>
      </c>
      <c r="V13" s="9">
        <v>2730</v>
      </c>
      <c r="W13" s="8">
        <v>2730</v>
      </c>
      <c r="X13" s="8">
        <v>883</v>
      </c>
      <c r="Y13">
        <f>W13+X13</f>
        <v>3613</v>
      </c>
      <c r="Z13">
        <f>D13*10.5*1320/100000</f>
        <v>378.37799999999999</v>
      </c>
      <c r="AA13">
        <f>Z13/1320*600</f>
        <v>171.99</v>
      </c>
      <c r="AB13">
        <f>Z13-AA13</f>
        <v>206.38799999999998</v>
      </c>
      <c r="AC13" s="470">
        <f>3207.02/42423*D13</f>
        <v>206.37778092072696</v>
      </c>
    </row>
    <row r="14" spans="1:29" ht="14.25">
      <c r="A14" s="448">
        <v>2</v>
      </c>
      <c r="B14" s="385" t="s">
        <v>890</v>
      </c>
      <c r="C14" s="8">
        <v>108</v>
      </c>
      <c r="D14" s="9">
        <v>108</v>
      </c>
      <c r="E14" s="473">
        <f t="shared" ref="E14:E45" si="0">2667.8/42423*C14</f>
        <v>6.7916554699101903</v>
      </c>
      <c r="F14" s="473">
        <v>8.164395728732055</v>
      </c>
      <c r="G14" s="473">
        <f t="shared" ref="G14:G46" si="1">F14+E14</f>
        <v>14.956051198642246</v>
      </c>
      <c r="H14" s="8">
        <v>0.87000000000000455</v>
      </c>
      <c r="I14" s="8">
        <v>-4.0500000000000114</v>
      </c>
      <c r="J14" s="8">
        <f t="shared" ref="J14:J46" si="2">I14+H14</f>
        <v>-3.1800000000000068</v>
      </c>
      <c r="K14" s="473">
        <v>88.100533760752228</v>
      </c>
      <c r="L14" s="473">
        <v>85.451999999999998</v>
      </c>
      <c r="M14" s="473">
        <f t="shared" ref="M14:M46" si="3">L14+K14</f>
        <v>173.55253376075223</v>
      </c>
      <c r="N14" s="222">
        <v>6.8039999999999994</v>
      </c>
      <c r="O14" s="671">
        <v>8.1647999999999996</v>
      </c>
      <c r="P14" s="473">
        <f t="shared" ref="P14:P46" si="4">O14+N14</f>
        <v>14.968799999999998</v>
      </c>
      <c r="Q14" s="473">
        <f t="shared" ref="Q14:Q46" si="5">H14+K14-N14</f>
        <v>82.16653376075223</v>
      </c>
      <c r="R14" s="473">
        <f t="shared" ref="R14:R46" si="6">I14+L14-O14</f>
        <v>73.237199999999987</v>
      </c>
      <c r="S14" s="473">
        <f t="shared" ref="S14:S46" si="7">J14+M14-P14</f>
        <v>155.40373376075223</v>
      </c>
      <c r="T14" s="19" t="s">
        <v>964</v>
      </c>
      <c r="U14" s="9">
        <v>108</v>
      </c>
      <c r="V14" s="9">
        <v>108</v>
      </c>
      <c r="W14" s="8">
        <v>108</v>
      </c>
      <c r="X14" s="8">
        <v>4622</v>
      </c>
      <c r="Y14">
        <f t="shared" ref="Y14:Y45" si="8">W14+X14</f>
        <v>4730</v>
      </c>
      <c r="Z14">
        <f t="shared" ref="Z14:Z45" si="9">D14*10.5*1320/100000</f>
        <v>14.9688</v>
      </c>
      <c r="AA14">
        <f t="shared" ref="AA14:AA45" si="10">Z14/1320*600</f>
        <v>6.8039999999999994</v>
      </c>
      <c r="AB14">
        <f t="shared" ref="AB14:AB45" si="11">Z14-AA14</f>
        <v>8.1647999999999996</v>
      </c>
      <c r="AC14" s="470">
        <f t="shared" ref="AC14:AC45" si="12">3207.02/42423*D14</f>
        <v>8.164395728732055</v>
      </c>
    </row>
    <row r="15" spans="1:29" ht="16.5" customHeight="1">
      <c r="A15" s="448">
        <v>3</v>
      </c>
      <c r="B15" s="385" t="s">
        <v>891</v>
      </c>
      <c r="C15" s="8">
        <v>1471</v>
      </c>
      <c r="D15" s="9">
        <v>1471</v>
      </c>
      <c r="E15" s="473">
        <f t="shared" si="0"/>
        <v>92.504862928128617</v>
      </c>
      <c r="F15" s="473">
        <v>111.20209367560049</v>
      </c>
      <c r="G15" s="473">
        <f t="shared" si="1"/>
        <v>203.70695660372911</v>
      </c>
      <c r="H15" s="8">
        <v>0.31999999999999318</v>
      </c>
      <c r="I15" s="8">
        <v>-0.23000000000000398</v>
      </c>
      <c r="J15" s="8">
        <f t="shared" si="2"/>
        <v>8.99999999999892E-2</v>
      </c>
      <c r="K15" s="473">
        <v>118.90082598612571</v>
      </c>
      <c r="L15" s="473">
        <v>107.524</v>
      </c>
      <c r="M15" s="473">
        <f t="shared" si="3"/>
        <v>226.42482598612571</v>
      </c>
      <c r="N15" s="222">
        <v>92.672999999999988</v>
      </c>
      <c r="O15" s="671">
        <v>111.2076</v>
      </c>
      <c r="P15" s="473">
        <f t="shared" si="4"/>
        <v>203.88059999999999</v>
      </c>
      <c r="Q15" s="473">
        <f t="shared" si="5"/>
        <v>26.547825986125716</v>
      </c>
      <c r="R15" s="473">
        <f t="shared" si="6"/>
        <v>-3.9136000000000024</v>
      </c>
      <c r="S15" s="473">
        <f t="shared" si="7"/>
        <v>22.634225986125699</v>
      </c>
      <c r="T15" s="19" t="s">
        <v>964</v>
      </c>
      <c r="U15" s="9">
        <v>1471</v>
      </c>
      <c r="V15" s="9">
        <v>1471</v>
      </c>
      <c r="W15" s="8">
        <v>1471</v>
      </c>
      <c r="X15" s="8">
        <v>2856</v>
      </c>
      <c r="Y15">
        <f t="shared" si="8"/>
        <v>4327</v>
      </c>
      <c r="Z15">
        <f t="shared" si="9"/>
        <v>203.88059999999999</v>
      </c>
      <c r="AA15">
        <f t="shared" si="10"/>
        <v>92.672999999999988</v>
      </c>
      <c r="AB15">
        <f t="shared" si="11"/>
        <v>111.2076</v>
      </c>
      <c r="AC15" s="470">
        <f t="shared" si="12"/>
        <v>111.20209367560049</v>
      </c>
    </row>
    <row r="16" spans="1:29" ht="14.25">
      <c r="A16" s="448">
        <v>4</v>
      </c>
      <c r="B16" s="385" t="s">
        <v>892</v>
      </c>
      <c r="C16" s="8">
        <v>888</v>
      </c>
      <c r="D16" s="9">
        <v>888</v>
      </c>
      <c r="E16" s="473">
        <f t="shared" si="0"/>
        <v>55.842500530372675</v>
      </c>
      <c r="F16" s="473">
        <v>67.129475991796895</v>
      </c>
      <c r="G16" s="473">
        <f t="shared" si="1"/>
        <v>122.97197652216957</v>
      </c>
      <c r="H16" s="8">
        <v>1</v>
      </c>
      <c r="I16" s="8">
        <v>-1.230000000000004</v>
      </c>
      <c r="J16" s="8">
        <f t="shared" si="2"/>
        <v>-0.23000000000000398</v>
      </c>
      <c r="K16" s="473">
        <v>60.191507637674249</v>
      </c>
      <c r="L16" s="473">
        <v>59.616</v>
      </c>
      <c r="M16" s="473">
        <f t="shared" si="3"/>
        <v>119.80750763767425</v>
      </c>
      <c r="N16" s="222">
        <v>55.944000000000003</v>
      </c>
      <c r="O16" s="671">
        <v>67.132800000000003</v>
      </c>
      <c r="P16" s="473">
        <f t="shared" si="4"/>
        <v>123.07680000000001</v>
      </c>
      <c r="Q16" s="473">
        <f t="shared" si="5"/>
        <v>5.2475076376742464</v>
      </c>
      <c r="R16" s="473">
        <f t="shared" si="6"/>
        <v>-8.7468000000000075</v>
      </c>
      <c r="S16" s="473">
        <f t="shared" si="7"/>
        <v>-3.499292362325761</v>
      </c>
      <c r="T16" s="19" t="s">
        <v>964</v>
      </c>
      <c r="U16" s="9">
        <v>888</v>
      </c>
      <c r="V16" s="9">
        <v>888</v>
      </c>
      <c r="W16" s="8">
        <v>888</v>
      </c>
      <c r="X16" s="8">
        <v>1169</v>
      </c>
      <c r="Y16">
        <f t="shared" si="8"/>
        <v>2057</v>
      </c>
      <c r="Z16">
        <f t="shared" si="9"/>
        <v>123.07680000000001</v>
      </c>
      <c r="AA16">
        <f t="shared" si="10"/>
        <v>55.944000000000003</v>
      </c>
      <c r="AB16">
        <f t="shared" si="11"/>
        <v>67.132800000000003</v>
      </c>
      <c r="AC16" s="470">
        <f t="shared" si="12"/>
        <v>67.129475991796895</v>
      </c>
    </row>
    <row r="17" spans="1:29" ht="14.25">
      <c r="A17" s="448">
        <v>5</v>
      </c>
      <c r="B17" s="385" t="s">
        <v>893</v>
      </c>
      <c r="C17" s="8">
        <v>3269</v>
      </c>
      <c r="D17" s="9">
        <v>3269</v>
      </c>
      <c r="E17" s="473">
        <f t="shared" si="0"/>
        <v>205.57334936237419</v>
      </c>
      <c r="F17" s="473">
        <v>253.93717745858311</v>
      </c>
      <c r="G17" s="473">
        <f t="shared" si="1"/>
        <v>459.5105268209573</v>
      </c>
      <c r="H17" s="8">
        <v>0.33999999999997499</v>
      </c>
      <c r="I17" s="8">
        <v>-0.42000000000001592</v>
      </c>
      <c r="J17" s="8">
        <f t="shared" si="2"/>
        <v>-8.0000000000040927E-2</v>
      </c>
      <c r="K17" s="473">
        <v>180.54461326368863</v>
      </c>
      <c r="L17" s="473">
        <v>165.32000000000002</v>
      </c>
      <c r="M17" s="473">
        <f t="shared" si="3"/>
        <v>345.86461326368863</v>
      </c>
      <c r="N17" s="222">
        <v>205.94699999999997</v>
      </c>
      <c r="O17" s="671">
        <v>247.13640000000001</v>
      </c>
      <c r="P17" s="473">
        <f t="shared" si="4"/>
        <v>453.08339999999998</v>
      </c>
      <c r="Q17" s="473">
        <f t="shared" si="5"/>
        <v>-25.062386736311367</v>
      </c>
      <c r="R17" s="473">
        <f t="shared" si="6"/>
        <v>-82.236400000000003</v>
      </c>
      <c r="S17" s="473">
        <f t="shared" si="7"/>
        <v>-107.2987867363114</v>
      </c>
      <c r="T17" s="19" t="s">
        <v>964</v>
      </c>
      <c r="U17" s="9">
        <v>3269</v>
      </c>
      <c r="V17" s="9">
        <v>3269</v>
      </c>
      <c r="W17" s="8">
        <v>3269</v>
      </c>
      <c r="X17" s="8">
        <v>4902</v>
      </c>
      <c r="Y17">
        <f t="shared" si="8"/>
        <v>8171</v>
      </c>
      <c r="Z17">
        <f t="shared" si="9"/>
        <v>453.08339999999998</v>
      </c>
      <c r="AA17">
        <f t="shared" si="10"/>
        <v>205.94699999999997</v>
      </c>
      <c r="AB17">
        <f t="shared" si="11"/>
        <v>247.13640000000001</v>
      </c>
      <c r="AC17" s="470">
        <f t="shared" si="12"/>
        <v>247.12416330763972</v>
      </c>
    </row>
    <row r="18" spans="1:29" ht="14.25">
      <c r="A18" s="448">
        <v>6</v>
      </c>
      <c r="B18" s="385" t="s">
        <v>894</v>
      </c>
      <c r="C18" s="8">
        <v>8</v>
      </c>
      <c r="D18" s="9">
        <v>8</v>
      </c>
      <c r="E18" s="473">
        <f t="shared" si="0"/>
        <v>0.50308559036371781</v>
      </c>
      <c r="F18" s="473">
        <v>0.60477005398015227</v>
      </c>
      <c r="G18" s="473">
        <f t="shared" si="1"/>
        <v>1.1078556443438701</v>
      </c>
      <c r="H18" s="8">
        <v>3.0000000000001137E-2</v>
      </c>
      <c r="I18" s="8">
        <v>-4.0000000000006253E-2</v>
      </c>
      <c r="J18" s="8">
        <f t="shared" si="2"/>
        <v>-1.0000000000005116E-2</v>
      </c>
      <c r="K18" s="473">
        <v>102.41396261430029</v>
      </c>
      <c r="L18" s="473">
        <v>90.355999999999995</v>
      </c>
      <c r="M18" s="473">
        <f t="shared" si="3"/>
        <v>192.76996261430028</v>
      </c>
      <c r="N18" s="222">
        <v>0.504</v>
      </c>
      <c r="O18" s="671">
        <v>0.6048</v>
      </c>
      <c r="P18" s="473">
        <f t="shared" si="4"/>
        <v>1.1088</v>
      </c>
      <c r="Q18" s="473">
        <f t="shared" si="5"/>
        <v>101.93996261430028</v>
      </c>
      <c r="R18" s="473">
        <f t="shared" si="6"/>
        <v>89.711199999999991</v>
      </c>
      <c r="S18" s="473">
        <f t="shared" si="7"/>
        <v>191.65116261430026</v>
      </c>
      <c r="T18" s="19" t="s">
        <v>964</v>
      </c>
      <c r="U18" s="9">
        <v>8</v>
      </c>
      <c r="V18" s="9">
        <v>8</v>
      </c>
      <c r="W18" s="8">
        <v>8</v>
      </c>
      <c r="X18" s="8">
        <v>3356</v>
      </c>
      <c r="Y18">
        <f t="shared" si="8"/>
        <v>3364</v>
      </c>
      <c r="Z18">
        <f t="shared" si="9"/>
        <v>1.1088</v>
      </c>
      <c r="AA18">
        <f t="shared" si="10"/>
        <v>0.504</v>
      </c>
      <c r="AB18">
        <f t="shared" si="11"/>
        <v>0.6048</v>
      </c>
      <c r="AC18" s="470">
        <f t="shared" si="12"/>
        <v>0.60477005398015227</v>
      </c>
    </row>
    <row r="19" spans="1:29" ht="14.25">
      <c r="A19" s="448">
        <v>7</v>
      </c>
      <c r="B19" s="385" t="s">
        <v>895</v>
      </c>
      <c r="C19" s="8">
        <v>2012</v>
      </c>
      <c r="D19" s="9">
        <v>2012</v>
      </c>
      <c r="E19" s="473">
        <f t="shared" si="0"/>
        <v>126.52602597647503</v>
      </c>
      <c r="F19" s="473">
        <v>154.39946574581961</v>
      </c>
      <c r="G19" s="473">
        <f t="shared" si="1"/>
        <v>280.92549172229462</v>
      </c>
      <c r="H19" s="8">
        <v>1.7600000000000051</v>
      </c>
      <c r="I19" s="8">
        <v>-2.1700000000000017</v>
      </c>
      <c r="J19" s="8">
        <f t="shared" si="2"/>
        <v>-0.40999999999999659</v>
      </c>
      <c r="K19" s="473">
        <v>105.69073086356858</v>
      </c>
      <c r="L19" s="473">
        <v>111.34799999999998</v>
      </c>
      <c r="M19" s="473">
        <f t="shared" si="3"/>
        <v>217.03873086356856</v>
      </c>
      <c r="N19" s="222">
        <v>126.756</v>
      </c>
      <c r="O19" s="671">
        <v>152.10720000000001</v>
      </c>
      <c r="P19" s="473">
        <f t="shared" si="4"/>
        <v>278.86320000000001</v>
      </c>
      <c r="Q19" s="473">
        <f t="shared" si="5"/>
        <v>-19.30526913643142</v>
      </c>
      <c r="R19" s="473">
        <f t="shared" si="6"/>
        <v>-42.929200000000023</v>
      </c>
      <c r="S19" s="473">
        <f t="shared" si="7"/>
        <v>-62.234469136431443</v>
      </c>
      <c r="T19" s="19" t="s">
        <v>964</v>
      </c>
      <c r="U19" s="9">
        <v>2012</v>
      </c>
      <c r="V19" s="9">
        <v>2012</v>
      </c>
      <c r="W19" s="8">
        <v>2012</v>
      </c>
      <c r="X19" s="8">
        <v>3059</v>
      </c>
      <c r="Y19">
        <f t="shared" si="8"/>
        <v>5071</v>
      </c>
      <c r="Z19">
        <f t="shared" si="9"/>
        <v>278.86320000000001</v>
      </c>
      <c r="AA19">
        <f t="shared" si="10"/>
        <v>126.756</v>
      </c>
      <c r="AB19">
        <f t="shared" si="11"/>
        <v>152.10720000000001</v>
      </c>
      <c r="AC19" s="470">
        <f t="shared" si="12"/>
        <v>152.0996685760083</v>
      </c>
    </row>
    <row r="20" spans="1:29" ht="14.25">
      <c r="A20" s="448">
        <v>8</v>
      </c>
      <c r="B20" s="385" t="s">
        <v>896</v>
      </c>
      <c r="C20" s="8">
        <v>110</v>
      </c>
      <c r="D20" s="9">
        <v>110</v>
      </c>
      <c r="E20" s="473">
        <f t="shared" si="0"/>
        <v>6.9174268675011197</v>
      </c>
      <c r="F20" s="473">
        <v>8.801460883736528</v>
      </c>
      <c r="G20" s="473">
        <f t="shared" si="1"/>
        <v>15.718887751237649</v>
      </c>
      <c r="H20" s="8">
        <v>0.40999999999999659</v>
      </c>
      <c r="I20" s="8">
        <v>-0.21999999999999886</v>
      </c>
      <c r="J20" s="8">
        <f t="shared" si="2"/>
        <v>0.18999999999999773</v>
      </c>
      <c r="K20" s="473">
        <v>79.1209923717838</v>
      </c>
      <c r="L20" s="473">
        <v>66.088000000000022</v>
      </c>
      <c r="M20" s="473">
        <f t="shared" si="3"/>
        <v>145.20899237178384</v>
      </c>
      <c r="N20" s="222">
        <v>6.93</v>
      </c>
      <c r="O20" s="671">
        <v>8.3160000000000007</v>
      </c>
      <c r="P20" s="473">
        <f t="shared" si="4"/>
        <v>15.246</v>
      </c>
      <c r="Q20" s="473">
        <f t="shared" si="5"/>
        <v>72.600992371783803</v>
      </c>
      <c r="R20" s="473">
        <f t="shared" si="6"/>
        <v>57.552000000000021</v>
      </c>
      <c r="S20" s="473">
        <f t="shared" si="7"/>
        <v>130.15299237178382</v>
      </c>
      <c r="T20" s="19" t="s">
        <v>964</v>
      </c>
      <c r="U20" s="9">
        <v>110</v>
      </c>
      <c r="V20" s="9">
        <v>110</v>
      </c>
      <c r="W20" s="8">
        <v>110</v>
      </c>
      <c r="X20" s="8">
        <v>3406</v>
      </c>
      <c r="Y20">
        <f t="shared" si="8"/>
        <v>3516</v>
      </c>
      <c r="Z20">
        <f t="shared" si="9"/>
        <v>15.246</v>
      </c>
      <c r="AA20">
        <f t="shared" si="10"/>
        <v>6.93</v>
      </c>
      <c r="AB20">
        <f t="shared" si="11"/>
        <v>8.3160000000000007</v>
      </c>
      <c r="AC20" s="470">
        <f t="shared" si="12"/>
        <v>8.3155882422270935</v>
      </c>
    </row>
    <row r="21" spans="1:29" ht="14.25">
      <c r="A21" s="448">
        <v>9</v>
      </c>
      <c r="B21" s="385" t="s">
        <v>897</v>
      </c>
      <c r="C21" s="8">
        <v>868</v>
      </c>
      <c r="D21" s="9">
        <v>868</v>
      </c>
      <c r="E21" s="473">
        <f t="shared" si="0"/>
        <v>54.584786554463385</v>
      </c>
      <c r="F21" s="473">
        <v>65.61755085684652</v>
      </c>
      <c r="G21" s="473">
        <f t="shared" si="1"/>
        <v>120.20233741130991</v>
      </c>
      <c r="H21" s="8">
        <v>0.18999999999999773</v>
      </c>
      <c r="I21" s="8">
        <v>-0.22999999999999687</v>
      </c>
      <c r="J21" s="8">
        <f t="shared" si="2"/>
        <v>-3.9999999999999147E-2</v>
      </c>
      <c r="K21" s="473">
        <v>54.754598047610457</v>
      </c>
      <c r="L21" s="473">
        <v>52.147999999999996</v>
      </c>
      <c r="M21" s="473">
        <f t="shared" si="3"/>
        <v>106.90259804761045</v>
      </c>
      <c r="N21" s="222">
        <v>54.683999999999997</v>
      </c>
      <c r="O21" s="671">
        <v>65.620800000000003</v>
      </c>
      <c r="P21" s="473">
        <f t="shared" si="4"/>
        <v>120.3048</v>
      </c>
      <c r="Q21" s="473">
        <f t="shared" si="5"/>
        <v>0.26059804761045768</v>
      </c>
      <c r="R21" s="473">
        <f t="shared" si="6"/>
        <v>-13.702800000000003</v>
      </c>
      <c r="S21" s="473">
        <f t="shared" si="7"/>
        <v>-13.442201952389553</v>
      </c>
      <c r="T21" s="19" t="s">
        <v>964</v>
      </c>
      <c r="U21" s="9">
        <v>868</v>
      </c>
      <c r="V21" s="9">
        <v>868</v>
      </c>
      <c r="W21" s="8">
        <v>868</v>
      </c>
      <c r="X21" s="8">
        <v>1332</v>
      </c>
      <c r="Y21">
        <f t="shared" si="8"/>
        <v>2200</v>
      </c>
      <c r="Z21">
        <f t="shared" si="9"/>
        <v>120.3048</v>
      </c>
      <c r="AA21">
        <f t="shared" si="10"/>
        <v>54.683999999999997</v>
      </c>
      <c r="AB21">
        <f t="shared" si="11"/>
        <v>65.620800000000003</v>
      </c>
      <c r="AC21" s="470">
        <f t="shared" si="12"/>
        <v>65.61755085684652</v>
      </c>
    </row>
    <row r="22" spans="1:29" ht="14.25">
      <c r="A22" s="448">
        <v>10</v>
      </c>
      <c r="B22" s="385" t="s">
        <v>898</v>
      </c>
      <c r="C22" s="8">
        <v>1841</v>
      </c>
      <c r="D22" s="9">
        <v>1841</v>
      </c>
      <c r="E22" s="473">
        <f t="shared" si="0"/>
        <v>115.77257148245056</v>
      </c>
      <c r="F22" s="473">
        <v>139.17270867218255</v>
      </c>
      <c r="G22" s="473">
        <f t="shared" si="1"/>
        <v>254.94528015463311</v>
      </c>
      <c r="H22" s="8">
        <v>0</v>
      </c>
      <c r="I22" s="8">
        <v>0</v>
      </c>
      <c r="J22" s="8">
        <f t="shared" si="2"/>
        <v>0</v>
      </c>
      <c r="K22" s="473">
        <v>71.005507519133602</v>
      </c>
      <c r="L22" s="473">
        <v>69.536000000000016</v>
      </c>
      <c r="M22" s="473">
        <f t="shared" si="3"/>
        <v>140.54150751913363</v>
      </c>
      <c r="N22" s="222">
        <v>115.983</v>
      </c>
      <c r="O22" s="671">
        <v>139.17959999999999</v>
      </c>
      <c r="P22" s="473">
        <f t="shared" si="4"/>
        <v>255.1626</v>
      </c>
      <c r="Q22" s="473">
        <f t="shared" si="5"/>
        <v>-44.977492480866403</v>
      </c>
      <c r="R22" s="473">
        <f t="shared" si="6"/>
        <v>-69.643599999999978</v>
      </c>
      <c r="S22" s="473">
        <f t="shared" si="7"/>
        <v>-114.62109248086637</v>
      </c>
      <c r="T22" s="19" t="s">
        <v>964</v>
      </c>
      <c r="U22" s="9">
        <v>1841</v>
      </c>
      <c r="V22" s="9">
        <v>1841</v>
      </c>
      <c r="W22" s="8">
        <v>1841</v>
      </c>
      <c r="X22" s="8">
        <v>1342</v>
      </c>
      <c r="Y22">
        <f t="shared" si="8"/>
        <v>3183</v>
      </c>
      <c r="Z22">
        <f t="shared" si="9"/>
        <v>255.1626</v>
      </c>
      <c r="AA22">
        <f t="shared" si="10"/>
        <v>115.983</v>
      </c>
      <c r="AB22">
        <f t="shared" si="11"/>
        <v>139.17959999999999</v>
      </c>
      <c r="AC22" s="470">
        <f t="shared" si="12"/>
        <v>139.17270867218255</v>
      </c>
    </row>
    <row r="23" spans="1:29" ht="16.5" customHeight="1">
      <c r="A23" s="448">
        <v>11</v>
      </c>
      <c r="B23" s="385" t="s">
        <v>899</v>
      </c>
      <c r="C23" s="8">
        <v>1118</v>
      </c>
      <c r="D23" s="9">
        <v>1118</v>
      </c>
      <c r="E23" s="473">
        <f t="shared" si="0"/>
        <v>70.306211253329565</v>
      </c>
      <c r="F23" s="473">
        <v>85.369591458820622</v>
      </c>
      <c r="G23" s="473">
        <f t="shared" si="1"/>
        <v>155.67580271215019</v>
      </c>
      <c r="H23" s="8">
        <v>1.4899999999999949</v>
      </c>
      <c r="I23" s="8">
        <v>-2.6000000000000014</v>
      </c>
      <c r="J23" s="8">
        <f t="shared" si="2"/>
        <v>-1.1100000000000065</v>
      </c>
      <c r="K23" s="473">
        <v>61.78668893549245</v>
      </c>
      <c r="L23" s="473">
        <v>60.347999999999999</v>
      </c>
      <c r="M23" s="473">
        <f t="shared" si="3"/>
        <v>122.13468893549245</v>
      </c>
      <c r="N23" s="222">
        <v>70.434000000000012</v>
      </c>
      <c r="O23" s="671">
        <v>84.520799999999994</v>
      </c>
      <c r="P23" s="473">
        <f t="shared" si="4"/>
        <v>154.95480000000001</v>
      </c>
      <c r="Q23" s="473">
        <f t="shared" si="5"/>
        <v>-7.1573110645075673</v>
      </c>
      <c r="R23" s="473">
        <f t="shared" si="6"/>
        <v>-26.772799999999997</v>
      </c>
      <c r="S23" s="473">
        <f t="shared" si="7"/>
        <v>-33.930111064507571</v>
      </c>
      <c r="T23" s="19" t="s">
        <v>964</v>
      </c>
      <c r="U23" s="9">
        <v>1118</v>
      </c>
      <c r="V23" s="9">
        <v>1118</v>
      </c>
      <c r="W23" s="8">
        <v>1118</v>
      </c>
      <c r="X23" s="8">
        <v>1308</v>
      </c>
      <c r="Y23">
        <f t="shared" si="8"/>
        <v>2426</v>
      </c>
      <c r="Z23">
        <f t="shared" si="9"/>
        <v>154.95480000000001</v>
      </c>
      <c r="AA23">
        <f t="shared" si="10"/>
        <v>70.434000000000012</v>
      </c>
      <c r="AB23">
        <f t="shared" si="11"/>
        <v>84.520799999999994</v>
      </c>
      <c r="AC23" s="470">
        <f t="shared" si="12"/>
        <v>84.516615043726276</v>
      </c>
    </row>
    <row r="24" spans="1:29" ht="14.25">
      <c r="A24" s="448">
        <v>12</v>
      </c>
      <c r="B24" s="385" t="s">
        <v>900</v>
      </c>
      <c r="C24" s="8">
        <v>1099</v>
      </c>
      <c r="D24" s="9">
        <v>1099</v>
      </c>
      <c r="E24" s="473">
        <f t="shared" si="0"/>
        <v>69.111382976215737</v>
      </c>
      <c r="F24" s="473">
        <v>83.080286165523418</v>
      </c>
      <c r="G24" s="473">
        <f t="shared" si="1"/>
        <v>152.19166914173917</v>
      </c>
      <c r="H24" s="8">
        <v>-0.45999999999999375</v>
      </c>
      <c r="I24" s="8">
        <v>0.56999999999999318</v>
      </c>
      <c r="J24" s="8">
        <f t="shared" si="2"/>
        <v>0.10999999999999943</v>
      </c>
      <c r="K24" s="473">
        <v>66.399421521683493</v>
      </c>
      <c r="L24" s="473">
        <v>61.812000000000012</v>
      </c>
      <c r="M24" s="473">
        <f t="shared" si="3"/>
        <v>128.21142152168352</v>
      </c>
      <c r="N24" s="222">
        <v>69.237000000000009</v>
      </c>
      <c r="O24" s="671">
        <v>83.084400000000002</v>
      </c>
      <c r="P24" s="473">
        <f t="shared" si="4"/>
        <v>152.32140000000001</v>
      </c>
      <c r="Q24" s="473">
        <f t="shared" si="5"/>
        <v>-3.2975784783165096</v>
      </c>
      <c r="R24" s="473">
        <f t="shared" si="6"/>
        <v>-20.702399999999997</v>
      </c>
      <c r="S24" s="473">
        <f t="shared" si="7"/>
        <v>-23.999978478316478</v>
      </c>
      <c r="T24" s="19" t="s">
        <v>964</v>
      </c>
      <c r="U24" s="9">
        <v>1099</v>
      </c>
      <c r="V24" s="9">
        <v>1099</v>
      </c>
      <c r="W24" s="8">
        <v>1099</v>
      </c>
      <c r="X24" s="8">
        <v>1771</v>
      </c>
      <c r="Y24">
        <f t="shared" si="8"/>
        <v>2870</v>
      </c>
      <c r="Z24">
        <f t="shared" si="9"/>
        <v>152.32140000000001</v>
      </c>
      <c r="AA24">
        <f t="shared" si="10"/>
        <v>69.237000000000009</v>
      </c>
      <c r="AB24">
        <f t="shared" si="11"/>
        <v>83.084400000000002</v>
      </c>
      <c r="AC24" s="470">
        <f t="shared" si="12"/>
        <v>83.080286165523418</v>
      </c>
    </row>
    <row r="25" spans="1:29" ht="14.25">
      <c r="A25" s="448">
        <v>13</v>
      </c>
      <c r="B25" s="385" t="s">
        <v>901</v>
      </c>
      <c r="C25" s="8">
        <v>1520</v>
      </c>
      <c r="D25" s="9">
        <v>1520</v>
      </c>
      <c r="E25" s="473">
        <f t="shared" si="0"/>
        <v>95.586262169106377</v>
      </c>
      <c r="F25" s="473">
        <v>114.90631025622893</v>
      </c>
      <c r="G25" s="473">
        <f t="shared" si="1"/>
        <v>210.49257242533531</v>
      </c>
      <c r="H25" s="8">
        <v>0.92999999999999972</v>
      </c>
      <c r="I25" s="8">
        <v>-1.1499999999999986</v>
      </c>
      <c r="J25" s="8">
        <f t="shared" si="2"/>
        <v>-0.21999999999999886</v>
      </c>
      <c r="K25" s="473">
        <v>73.145709093706373</v>
      </c>
      <c r="L25" s="473">
        <v>68.24799999999999</v>
      </c>
      <c r="M25" s="473">
        <f t="shared" si="3"/>
        <v>141.39370909370638</v>
      </c>
      <c r="N25" s="222">
        <v>95.759999999999991</v>
      </c>
      <c r="O25" s="671">
        <v>114.91200000000001</v>
      </c>
      <c r="P25" s="473">
        <f t="shared" si="4"/>
        <v>210.672</v>
      </c>
      <c r="Q25" s="473">
        <f t="shared" si="5"/>
        <v>-21.684290906293626</v>
      </c>
      <c r="R25" s="473">
        <f t="shared" si="6"/>
        <v>-47.814000000000021</v>
      </c>
      <c r="S25" s="473">
        <f t="shared" si="7"/>
        <v>-69.498290906293619</v>
      </c>
      <c r="T25" s="19" t="s">
        <v>964</v>
      </c>
      <c r="U25" s="9">
        <v>1520</v>
      </c>
      <c r="V25" s="9">
        <v>1520</v>
      </c>
      <c r="W25" s="8">
        <v>1520</v>
      </c>
      <c r="X25" s="8">
        <v>1022</v>
      </c>
      <c r="Y25">
        <f t="shared" si="8"/>
        <v>2542</v>
      </c>
      <c r="Z25">
        <f t="shared" si="9"/>
        <v>210.672</v>
      </c>
      <c r="AA25">
        <f t="shared" si="10"/>
        <v>95.759999999999991</v>
      </c>
      <c r="AB25">
        <f t="shared" si="11"/>
        <v>114.91200000000001</v>
      </c>
      <c r="AC25" s="470">
        <f t="shared" si="12"/>
        <v>114.90631025622893</v>
      </c>
    </row>
    <row r="26" spans="1:29" ht="16.5" customHeight="1">
      <c r="A26" s="448">
        <v>14</v>
      </c>
      <c r="B26" s="385" t="s">
        <v>902</v>
      </c>
      <c r="C26" s="8">
        <v>1783</v>
      </c>
      <c r="D26" s="9">
        <v>1783</v>
      </c>
      <c r="E26" s="473">
        <f t="shared" si="0"/>
        <v>112.12520095231361</v>
      </c>
      <c r="F26" s="473">
        <v>135.39276729026042</v>
      </c>
      <c r="G26" s="473">
        <f t="shared" si="1"/>
        <v>247.51796824257403</v>
      </c>
      <c r="H26" s="8">
        <v>3.9999999999999147E-2</v>
      </c>
      <c r="I26" s="8">
        <v>2.0000000000003126E-2</v>
      </c>
      <c r="J26" s="8">
        <f t="shared" si="2"/>
        <v>6.0000000000002274E-2</v>
      </c>
      <c r="K26" s="473">
        <v>101.04144203930252</v>
      </c>
      <c r="L26" s="473">
        <v>102.83600000000001</v>
      </c>
      <c r="M26" s="473">
        <f t="shared" si="3"/>
        <v>203.87744203930254</v>
      </c>
      <c r="N26" s="222">
        <v>112.32899999999999</v>
      </c>
      <c r="O26" s="671">
        <v>134.79480000000001</v>
      </c>
      <c r="P26" s="473">
        <f t="shared" si="4"/>
        <v>247.12380000000002</v>
      </c>
      <c r="Q26" s="473">
        <f t="shared" si="5"/>
        <v>-11.247557960697478</v>
      </c>
      <c r="R26" s="473">
        <f t="shared" si="6"/>
        <v>-31.938799999999986</v>
      </c>
      <c r="S26" s="473">
        <f t="shared" si="7"/>
        <v>-43.186357960697478</v>
      </c>
      <c r="T26" s="19" t="s">
        <v>964</v>
      </c>
      <c r="U26" s="9">
        <v>1783</v>
      </c>
      <c r="V26" s="9">
        <v>1783</v>
      </c>
      <c r="W26" s="8">
        <v>1783</v>
      </c>
      <c r="X26" s="8">
        <v>1896</v>
      </c>
      <c r="Y26">
        <f t="shared" si="8"/>
        <v>3679</v>
      </c>
      <c r="Z26">
        <f t="shared" si="9"/>
        <v>247.12379999999999</v>
      </c>
      <c r="AA26">
        <f t="shared" si="10"/>
        <v>112.32899999999999</v>
      </c>
      <c r="AB26">
        <f t="shared" si="11"/>
        <v>134.79480000000001</v>
      </c>
      <c r="AC26" s="470">
        <f t="shared" si="12"/>
        <v>134.78812578082645</v>
      </c>
    </row>
    <row r="27" spans="1:29" ht="16.5" customHeight="1">
      <c r="A27" s="448">
        <v>15</v>
      </c>
      <c r="B27" s="385" t="s">
        <v>903</v>
      </c>
      <c r="C27" s="8">
        <v>15</v>
      </c>
      <c r="D27" s="9">
        <v>15</v>
      </c>
      <c r="E27" s="473">
        <f t="shared" si="0"/>
        <v>0.94328548193197093</v>
      </c>
      <c r="F27" s="473">
        <v>1.3282929078165591</v>
      </c>
      <c r="G27" s="473">
        <f t="shared" si="1"/>
        <v>2.2715783897485302</v>
      </c>
      <c r="H27" s="8">
        <v>0</v>
      </c>
      <c r="I27" s="8">
        <v>0</v>
      </c>
      <c r="J27" s="8">
        <f t="shared" si="2"/>
        <v>0</v>
      </c>
      <c r="K27" s="473">
        <v>72.009142419010885</v>
      </c>
      <c r="L27" s="473">
        <v>73.888000000000019</v>
      </c>
      <c r="M27" s="473">
        <f t="shared" si="3"/>
        <v>145.89714241901089</v>
      </c>
      <c r="N27" s="222">
        <v>0.94500000000000017</v>
      </c>
      <c r="O27" s="671">
        <v>1.1339999999999999</v>
      </c>
      <c r="P27" s="473">
        <f t="shared" si="4"/>
        <v>2.0790000000000002</v>
      </c>
      <c r="Q27" s="473">
        <f t="shared" si="5"/>
        <v>71.064142419010892</v>
      </c>
      <c r="R27" s="473">
        <f t="shared" si="6"/>
        <v>72.754000000000019</v>
      </c>
      <c r="S27" s="473">
        <f t="shared" si="7"/>
        <v>143.81814241901088</v>
      </c>
      <c r="T27" s="19" t="s">
        <v>964</v>
      </c>
      <c r="U27" s="9">
        <v>15</v>
      </c>
      <c r="V27" s="9">
        <v>15</v>
      </c>
      <c r="W27" s="8">
        <v>15</v>
      </c>
      <c r="X27" s="8">
        <v>3100</v>
      </c>
      <c r="Y27">
        <f t="shared" si="8"/>
        <v>3115</v>
      </c>
      <c r="Z27">
        <f t="shared" si="9"/>
        <v>2.0790000000000002</v>
      </c>
      <c r="AA27">
        <f t="shared" si="10"/>
        <v>0.94500000000000017</v>
      </c>
      <c r="AB27">
        <f t="shared" si="11"/>
        <v>1.1339999999999999</v>
      </c>
      <c r="AC27" s="470">
        <f t="shared" si="12"/>
        <v>1.1339438512127855</v>
      </c>
    </row>
    <row r="28" spans="1:29" ht="16.5" customHeight="1">
      <c r="A28" s="448">
        <v>16</v>
      </c>
      <c r="B28" s="385" t="s">
        <v>904</v>
      </c>
      <c r="C28" s="8">
        <v>859</v>
      </c>
      <c r="D28" s="9">
        <v>859</v>
      </c>
      <c r="E28" s="473">
        <f t="shared" si="0"/>
        <v>54.018815265304198</v>
      </c>
      <c r="F28" s="473">
        <v>65.541826055552804</v>
      </c>
      <c r="G28" s="473">
        <f t="shared" si="1"/>
        <v>119.560641320857</v>
      </c>
      <c r="H28" s="8">
        <v>-3.0000000000001137E-2</v>
      </c>
      <c r="I28" s="8">
        <v>3.0000000000001137E-2</v>
      </c>
      <c r="J28" s="8">
        <f t="shared" si="2"/>
        <v>0</v>
      </c>
      <c r="K28" s="473">
        <v>54.435561788046826</v>
      </c>
      <c r="L28" s="473">
        <v>57.888000000000019</v>
      </c>
      <c r="M28" s="473">
        <f t="shared" si="3"/>
        <v>112.32356178804685</v>
      </c>
      <c r="N28" s="222">
        <v>54.116999999999997</v>
      </c>
      <c r="O28" s="671">
        <v>64.940400000000011</v>
      </c>
      <c r="P28" s="473">
        <f t="shared" si="4"/>
        <v>119.0574</v>
      </c>
      <c r="Q28" s="473">
        <f t="shared" si="5"/>
        <v>0.28856178804682742</v>
      </c>
      <c r="R28" s="473">
        <f t="shared" si="6"/>
        <v>-7.0223999999999904</v>
      </c>
      <c r="S28" s="473">
        <f t="shared" si="7"/>
        <v>-6.7338382119531559</v>
      </c>
      <c r="T28" s="19" t="s">
        <v>964</v>
      </c>
      <c r="U28" s="9">
        <v>859</v>
      </c>
      <c r="V28" s="9">
        <v>859</v>
      </c>
      <c r="W28" s="8">
        <v>859</v>
      </c>
      <c r="X28" s="8">
        <v>1288</v>
      </c>
      <c r="Y28">
        <f t="shared" si="8"/>
        <v>2147</v>
      </c>
      <c r="Z28">
        <f t="shared" si="9"/>
        <v>119.0574</v>
      </c>
      <c r="AA28">
        <f t="shared" si="10"/>
        <v>54.116999999999997</v>
      </c>
      <c r="AB28">
        <f t="shared" si="11"/>
        <v>64.940400000000011</v>
      </c>
      <c r="AC28" s="470">
        <f t="shared" si="12"/>
        <v>64.937184546118843</v>
      </c>
    </row>
    <row r="29" spans="1:29" ht="16.5" customHeight="1">
      <c r="A29" s="448">
        <v>17</v>
      </c>
      <c r="B29" s="385" t="s">
        <v>905</v>
      </c>
      <c r="C29" s="8">
        <v>2076</v>
      </c>
      <c r="D29" s="9">
        <v>2076</v>
      </c>
      <c r="E29" s="473">
        <f t="shared" si="0"/>
        <v>130.55071069938478</v>
      </c>
      <c r="F29" s="473">
        <v>158.57899881917027</v>
      </c>
      <c r="G29" s="473">
        <f t="shared" si="1"/>
        <v>289.12970951855505</v>
      </c>
      <c r="H29" s="8">
        <v>3.0600000000000023</v>
      </c>
      <c r="I29" s="8">
        <v>-1.8900000000000006</v>
      </c>
      <c r="J29" s="8">
        <f t="shared" si="2"/>
        <v>1.1700000000000017</v>
      </c>
      <c r="K29" s="473">
        <v>94.49122883513644</v>
      </c>
      <c r="L29" s="473">
        <v>79.328000000000017</v>
      </c>
      <c r="M29" s="473">
        <f t="shared" si="3"/>
        <v>173.81922883513647</v>
      </c>
      <c r="N29" s="222">
        <v>130.78800000000001</v>
      </c>
      <c r="O29" s="671">
        <v>156.94560000000001</v>
      </c>
      <c r="P29" s="473">
        <f t="shared" si="4"/>
        <v>287.73360000000002</v>
      </c>
      <c r="Q29" s="473">
        <f t="shared" si="5"/>
        <v>-33.236771164863569</v>
      </c>
      <c r="R29" s="473">
        <f t="shared" si="6"/>
        <v>-79.507599999999996</v>
      </c>
      <c r="S29" s="473">
        <f t="shared" si="7"/>
        <v>-112.74437116486354</v>
      </c>
      <c r="T29" s="19" t="s">
        <v>964</v>
      </c>
      <c r="U29" s="9">
        <v>2076</v>
      </c>
      <c r="V29" s="9">
        <v>2076</v>
      </c>
      <c r="W29" s="8">
        <v>2076</v>
      </c>
      <c r="X29" s="8">
        <v>1112</v>
      </c>
      <c r="Y29">
        <f t="shared" si="8"/>
        <v>3188</v>
      </c>
      <c r="Z29">
        <f t="shared" si="9"/>
        <v>287.73360000000002</v>
      </c>
      <c r="AA29">
        <f t="shared" si="10"/>
        <v>130.78800000000001</v>
      </c>
      <c r="AB29">
        <f t="shared" si="11"/>
        <v>156.94560000000001</v>
      </c>
      <c r="AC29" s="470">
        <f t="shared" si="12"/>
        <v>156.9378290078495</v>
      </c>
    </row>
    <row r="30" spans="1:29" ht="16.5" customHeight="1">
      <c r="A30" s="448">
        <v>18</v>
      </c>
      <c r="B30" s="385" t="s">
        <v>906</v>
      </c>
      <c r="C30" s="8">
        <v>993</v>
      </c>
      <c r="D30" s="9">
        <v>993</v>
      </c>
      <c r="E30" s="473">
        <f t="shared" si="0"/>
        <v>62.445498903896471</v>
      </c>
      <c r="F30" s="473">
        <v>79.666677289909046</v>
      </c>
      <c r="G30" s="473">
        <f t="shared" si="1"/>
        <v>142.11217619380551</v>
      </c>
      <c r="H30" s="8">
        <v>0.18999999999999773</v>
      </c>
      <c r="I30" s="8">
        <v>-0.23999999999999488</v>
      </c>
      <c r="J30" s="8">
        <f t="shared" si="2"/>
        <v>-4.9999999999997158E-2</v>
      </c>
      <c r="K30" s="473">
        <v>52.162428438655851</v>
      </c>
      <c r="L30" s="473">
        <v>51.147999999999996</v>
      </c>
      <c r="M30" s="473">
        <f t="shared" si="3"/>
        <v>103.31042843865585</v>
      </c>
      <c r="N30" s="222">
        <v>62.558999999999997</v>
      </c>
      <c r="O30" s="671">
        <v>75.070799999999991</v>
      </c>
      <c r="P30" s="473">
        <f t="shared" si="4"/>
        <v>137.62979999999999</v>
      </c>
      <c r="Q30" s="473">
        <f t="shared" si="5"/>
        <v>-10.206571561344148</v>
      </c>
      <c r="R30" s="473">
        <f t="shared" si="6"/>
        <v>-24.16279999999999</v>
      </c>
      <c r="S30" s="473">
        <f t="shared" si="7"/>
        <v>-34.369371561344138</v>
      </c>
      <c r="T30" s="19" t="s">
        <v>964</v>
      </c>
      <c r="U30" s="9">
        <v>993</v>
      </c>
      <c r="V30" s="9">
        <v>993</v>
      </c>
      <c r="W30" s="8">
        <v>993</v>
      </c>
      <c r="X30" s="8">
        <v>1027</v>
      </c>
      <c r="Y30">
        <f t="shared" si="8"/>
        <v>2020</v>
      </c>
      <c r="Z30">
        <f t="shared" si="9"/>
        <v>137.62979999999999</v>
      </c>
      <c r="AA30">
        <f t="shared" si="10"/>
        <v>62.558999999999997</v>
      </c>
      <c r="AB30">
        <f t="shared" si="11"/>
        <v>75.070799999999991</v>
      </c>
      <c r="AC30" s="470">
        <f t="shared" si="12"/>
        <v>75.067082950286405</v>
      </c>
    </row>
    <row r="31" spans="1:29" ht="16.5" customHeight="1">
      <c r="A31" s="448">
        <v>19</v>
      </c>
      <c r="B31" s="385" t="s">
        <v>907</v>
      </c>
      <c r="C31" s="8">
        <v>961</v>
      </c>
      <c r="D31" s="9">
        <v>961</v>
      </c>
      <c r="E31" s="473">
        <f t="shared" si="0"/>
        <v>60.433156542441601</v>
      </c>
      <c r="F31" s="473">
        <v>72.648002734365789</v>
      </c>
      <c r="G31" s="473">
        <f t="shared" si="1"/>
        <v>133.0811592768074</v>
      </c>
      <c r="H31" s="8">
        <v>1.8900000000000006</v>
      </c>
      <c r="I31" s="8">
        <v>-2.3299999999999983</v>
      </c>
      <c r="J31" s="8">
        <f t="shared" si="2"/>
        <v>-0.43999999999999773</v>
      </c>
      <c r="K31" s="473">
        <v>85.152771654158954</v>
      </c>
      <c r="L31" s="473">
        <v>79.279999999999987</v>
      </c>
      <c r="M31" s="473">
        <f t="shared" si="3"/>
        <v>164.43277165415896</v>
      </c>
      <c r="N31" s="222">
        <v>60.543000000000006</v>
      </c>
      <c r="O31" s="671">
        <v>72.651600000000002</v>
      </c>
      <c r="P31" s="473">
        <f t="shared" si="4"/>
        <v>133.19460000000001</v>
      </c>
      <c r="Q31" s="473">
        <f t="shared" si="5"/>
        <v>26.499771654158948</v>
      </c>
      <c r="R31" s="473">
        <f t="shared" si="6"/>
        <v>4.2983999999999867</v>
      </c>
      <c r="S31" s="473">
        <f t="shared" si="7"/>
        <v>30.798171654158949</v>
      </c>
      <c r="T31" s="19" t="s">
        <v>964</v>
      </c>
      <c r="U31" s="9">
        <v>961</v>
      </c>
      <c r="V31" s="9">
        <v>961</v>
      </c>
      <c r="W31" s="8">
        <v>961</v>
      </c>
      <c r="X31" s="8">
        <v>2718</v>
      </c>
      <c r="Y31">
        <f t="shared" si="8"/>
        <v>3679</v>
      </c>
      <c r="Z31">
        <f t="shared" si="9"/>
        <v>133.19460000000001</v>
      </c>
      <c r="AA31">
        <f t="shared" si="10"/>
        <v>60.543000000000006</v>
      </c>
      <c r="AB31">
        <f t="shared" si="11"/>
        <v>72.651600000000002</v>
      </c>
      <c r="AC31" s="470">
        <f t="shared" si="12"/>
        <v>72.648002734365789</v>
      </c>
    </row>
    <row r="32" spans="1:29" ht="16.5" customHeight="1">
      <c r="A32" s="448">
        <v>20</v>
      </c>
      <c r="B32" s="385" t="s">
        <v>908</v>
      </c>
      <c r="C32" s="8">
        <v>1175</v>
      </c>
      <c r="D32" s="9">
        <v>1175</v>
      </c>
      <c r="E32" s="473">
        <f t="shared" si="0"/>
        <v>73.890696084671049</v>
      </c>
      <c r="F32" s="473">
        <v>88.825601678334863</v>
      </c>
      <c r="G32" s="473">
        <f t="shared" si="1"/>
        <v>162.71629776300591</v>
      </c>
      <c r="H32" s="8">
        <v>-1.3199999999999932</v>
      </c>
      <c r="I32" s="8">
        <v>2.4500000000000028</v>
      </c>
      <c r="J32" s="8">
        <f t="shared" si="2"/>
        <v>1.1300000000000097</v>
      </c>
      <c r="K32" s="473">
        <v>101.02150227307979</v>
      </c>
      <c r="L32" s="473">
        <v>82.236000000000004</v>
      </c>
      <c r="M32" s="473">
        <f t="shared" si="3"/>
        <v>183.25750227307981</v>
      </c>
      <c r="N32" s="222">
        <v>74.025000000000006</v>
      </c>
      <c r="O32" s="671">
        <v>88.829999999999984</v>
      </c>
      <c r="P32" s="473">
        <f t="shared" si="4"/>
        <v>162.85499999999999</v>
      </c>
      <c r="Q32" s="473">
        <f t="shared" si="5"/>
        <v>25.676502273079791</v>
      </c>
      <c r="R32" s="473">
        <f t="shared" si="6"/>
        <v>-4.143999999999977</v>
      </c>
      <c r="S32" s="473">
        <f t="shared" si="7"/>
        <v>21.532502273079814</v>
      </c>
      <c r="T32" s="19" t="s">
        <v>964</v>
      </c>
      <c r="U32" s="9">
        <v>1175</v>
      </c>
      <c r="V32" s="9">
        <v>1175</v>
      </c>
      <c r="W32" s="8">
        <v>1175</v>
      </c>
      <c r="X32" s="8">
        <v>1762</v>
      </c>
      <c r="Y32">
        <f t="shared" si="8"/>
        <v>2937</v>
      </c>
      <c r="Z32">
        <f t="shared" si="9"/>
        <v>162.85499999999999</v>
      </c>
      <c r="AA32">
        <f t="shared" si="10"/>
        <v>74.025000000000006</v>
      </c>
      <c r="AB32">
        <f t="shared" si="11"/>
        <v>88.829999999999984</v>
      </c>
      <c r="AC32" s="470">
        <f t="shared" si="12"/>
        <v>88.825601678334863</v>
      </c>
    </row>
    <row r="33" spans="1:29" ht="16.5" customHeight="1">
      <c r="A33" s="448">
        <v>21</v>
      </c>
      <c r="B33" s="385" t="s">
        <v>909</v>
      </c>
      <c r="C33" s="8">
        <v>1036</v>
      </c>
      <c r="D33" s="9">
        <v>1036</v>
      </c>
      <c r="E33" s="473">
        <f t="shared" si="0"/>
        <v>65.149583952101452</v>
      </c>
      <c r="F33" s="473">
        <v>79.170698405524064</v>
      </c>
      <c r="G33" s="473">
        <f t="shared" si="1"/>
        <v>144.3202823576255</v>
      </c>
      <c r="H33" s="8">
        <v>1.9399999999999977</v>
      </c>
      <c r="I33" s="8">
        <v>-1.6299999999999955</v>
      </c>
      <c r="J33" s="8">
        <f t="shared" si="2"/>
        <v>0.31000000000000227</v>
      </c>
      <c r="K33" s="473">
        <v>64.468587492449331</v>
      </c>
      <c r="L33" s="473">
        <v>64.13600000000001</v>
      </c>
      <c r="M33" s="473">
        <f t="shared" si="3"/>
        <v>128.60458749244935</v>
      </c>
      <c r="N33" s="222">
        <v>65.267999999999986</v>
      </c>
      <c r="O33" s="671">
        <v>78.321600000000004</v>
      </c>
      <c r="P33" s="473">
        <f t="shared" si="4"/>
        <v>143.58959999999999</v>
      </c>
      <c r="Q33" s="473">
        <f t="shared" si="5"/>
        <v>1.1405874924493418</v>
      </c>
      <c r="R33" s="473">
        <f t="shared" si="6"/>
        <v>-15.815599999999989</v>
      </c>
      <c r="S33" s="473">
        <f t="shared" si="7"/>
        <v>-14.675012507550633</v>
      </c>
      <c r="T33" s="19" t="s">
        <v>964</v>
      </c>
      <c r="U33" s="9">
        <v>1036</v>
      </c>
      <c r="V33" s="9">
        <v>1036</v>
      </c>
      <c r="W33" s="8">
        <v>1036</v>
      </c>
      <c r="X33" s="8">
        <v>1431</v>
      </c>
      <c r="Y33">
        <f t="shared" si="8"/>
        <v>2467</v>
      </c>
      <c r="Z33">
        <f t="shared" si="9"/>
        <v>143.58959999999999</v>
      </c>
      <c r="AA33">
        <f t="shared" si="10"/>
        <v>65.267999999999986</v>
      </c>
      <c r="AB33">
        <f t="shared" si="11"/>
        <v>78.321600000000004</v>
      </c>
      <c r="AC33" s="470">
        <f t="shared" si="12"/>
        <v>78.317721990429717</v>
      </c>
    </row>
    <row r="34" spans="1:29" ht="16.5" customHeight="1">
      <c r="A34" s="448">
        <v>22</v>
      </c>
      <c r="B34" s="385" t="s">
        <v>910</v>
      </c>
      <c r="C34" s="8">
        <v>2034</v>
      </c>
      <c r="D34" s="9">
        <v>2034</v>
      </c>
      <c r="E34" s="473">
        <f t="shared" si="0"/>
        <v>127.90951134997525</v>
      </c>
      <c r="F34" s="473">
        <v>155.54431924332164</v>
      </c>
      <c r="G34" s="473">
        <f t="shared" si="1"/>
        <v>283.45383059329686</v>
      </c>
      <c r="H34" s="8">
        <v>3.0300000000000011</v>
      </c>
      <c r="I34" s="8">
        <v>0</v>
      </c>
      <c r="J34" s="8">
        <f t="shared" si="2"/>
        <v>3.0300000000000011</v>
      </c>
      <c r="K34" s="473">
        <v>106.97019919619359</v>
      </c>
      <c r="L34" s="473">
        <v>97.015999999999991</v>
      </c>
      <c r="M34" s="473">
        <f t="shared" si="3"/>
        <v>203.98619919619358</v>
      </c>
      <c r="N34" s="222">
        <v>128.142</v>
      </c>
      <c r="O34" s="671">
        <v>153.7704</v>
      </c>
      <c r="P34" s="473">
        <f t="shared" si="4"/>
        <v>281.91239999999999</v>
      </c>
      <c r="Q34" s="473">
        <f t="shared" si="5"/>
        <v>-18.141800803806404</v>
      </c>
      <c r="R34" s="473">
        <f t="shared" si="6"/>
        <v>-56.754400000000004</v>
      </c>
      <c r="S34" s="473">
        <f t="shared" si="7"/>
        <v>-74.896200803806408</v>
      </c>
      <c r="T34" s="19" t="s">
        <v>964</v>
      </c>
      <c r="U34" s="9">
        <v>2034</v>
      </c>
      <c r="V34" s="9">
        <v>2034</v>
      </c>
      <c r="W34" s="8">
        <v>2034</v>
      </c>
      <c r="X34" s="8">
        <v>3031</v>
      </c>
      <c r="Y34">
        <f t="shared" si="8"/>
        <v>5065</v>
      </c>
      <c r="Z34">
        <f t="shared" si="9"/>
        <v>281.91239999999999</v>
      </c>
      <c r="AA34">
        <f t="shared" si="10"/>
        <v>128.142</v>
      </c>
      <c r="AB34">
        <f t="shared" si="11"/>
        <v>153.7704</v>
      </c>
      <c r="AC34" s="470">
        <f t="shared" si="12"/>
        <v>153.76278622445372</v>
      </c>
    </row>
    <row r="35" spans="1:29" ht="16.5" customHeight="1">
      <c r="A35" s="448">
        <v>23</v>
      </c>
      <c r="B35" s="385" t="s">
        <v>911</v>
      </c>
      <c r="C35" s="8">
        <v>659</v>
      </c>
      <c r="D35" s="9">
        <v>659</v>
      </c>
      <c r="E35" s="473">
        <f t="shared" si="0"/>
        <v>41.441675506211254</v>
      </c>
      <c r="F35" s="473">
        <v>49.817933196615044</v>
      </c>
      <c r="G35" s="473">
        <f t="shared" si="1"/>
        <v>91.259608702826299</v>
      </c>
      <c r="H35" s="8">
        <v>1.9099999999999966</v>
      </c>
      <c r="I35" s="8">
        <v>-1.6400000000000006</v>
      </c>
      <c r="J35" s="8">
        <f t="shared" si="2"/>
        <v>0.26999999999999602</v>
      </c>
      <c r="K35" s="473">
        <v>33.512100431664479</v>
      </c>
      <c r="L35" s="473">
        <v>37.927999999999997</v>
      </c>
      <c r="M35" s="473">
        <f t="shared" si="3"/>
        <v>71.440100431664476</v>
      </c>
      <c r="N35" s="222">
        <v>41.517000000000003</v>
      </c>
      <c r="O35" s="671">
        <v>49.820399999999999</v>
      </c>
      <c r="P35" s="473">
        <f t="shared" si="4"/>
        <v>91.337400000000002</v>
      </c>
      <c r="Q35" s="473">
        <f t="shared" si="5"/>
        <v>-6.0948995683355278</v>
      </c>
      <c r="R35" s="473">
        <f t="shared" si="6"/>
        <v>-13.532400000000003</v>
      </c>
      <c r="S35" s="473">
        <f t="shared" si="7"/>
        <v>-19.62729956833553</v>
      </c>
      <c r="T35" s="19" t="s">
        <v>964</v>
      </c>
      <c r="U35" s="9">
        <v>659</v>
      </c>
      <c r="V35" s="9">
        <v>659</v>
      </c>
      <c r="W35" s="8">
        <v>659</v>
      </c>
      <c r="X35" s="8">
        <v>1393</v>
      </c>
      <c r="Y35">
        <f t="shared" si="8"/>
        <v>2052</v>
      </c>
      <c r="Z35">
        <f t="shared" si="9"/>
        <v>91.337400000000002</v>
      </c>
      <c r="AA35">
        <f t="shared" si="10"/>
        <v>41.517000000000003</v>
      </c>
      <c r="AB35">
        <f t="shared" si="11"/>
        <v>49.820399999999999</v>
      </c>
      <c r="AC35" s="470">
        <f t="shared" si="12"/>
        <v>49.817933196615044</v>
      </c>
    </row>
    <row r="36" spans="1:29" ht="16.5" customHeight="1">
      <c r="A36" s="448">
        <v>24</v>
      </c>
      <c r="B36" s="385" t="s">
        <v>912</v>
      </c>
      <c r="C36" s="8">
        <v>812</v>
      </c>
      <c r="D36" s="9">
        <v>812</v>
      </c>
      <c r="E36" s="473">
        <f t="shared" si="0"/>
        <v>51.063187421917355</v>
      </c>
      <c r="F36" s="473">
        <v>61.384160478985457</v>
      </c>
      <c r="G36" s="473">
        <f t="shared" si="1"/>
        <v>112.44734790090281</v>
      </c>
      <c r="H36" s="8">
        <v>4.9999999999997158E-2</v>
      </c>
      <c r="I36" s="8">
        <v>-6.0000000000002274E-2</v>
      </c>
      <c r="J36" s="8">
        <f t="shared" si="2"/>
        <v>-1.0000000000005116E-2</v>
      </c>
      <c r="K36" s="473">
        <v>61.657080455044721</v>
      </c>
      <c r="L36" s="473">
        <v>49.535999999999987</v>
      </c>
      <c r="M36" s="473">
        <f t="shared" si="3"/>
        <v>111.19308045504471</v>
      </c>
      <c r="N36" s="222">
        <v>51.155999999999999</v>
      </c>
      <c r="O36" s="671">
        <v>61.3872</v>
      </c>
      <c r="P36" s="473">
        <f t="shared" si="4"/>
        <v>112.5432</v>
      </c>
      <c r="Q36" s="473">
        <f t="shared" si="5"/>
        <v>10.551080455044719</v>
      </c>
      <c r="R36" s="473">
        <f t="shared" si="6"/>
        <v>-11.911200000000015</v>
      </c>
      <c r="S36" s="473">
        <f t="shared" si="7"/>
        <v>-1.3601195449552961</v>
      </c>
      <c r="T36" s="19" t="s">
        <v>964</v>
      </c>
      <c r="U36" s="9">
        <v>812</v>
      </c>
      <c r="V36" s="9">
        <v>812</v>
      </c>
      <c r="W36" s="8">
        <v>812</v>
      </c>
      <c r="X36" s="8">
        <v>1235</v>
      </c>
      <c r="Y36">
        <f t="shared" si="8"/>
        <v>2047</v>
      </c>
      <c r="Z36">
        <f t="shared" si="9"/>
        <v>112.5432</v>
      </c>
      <c r="AA36">
        <f t="shared" si="10"/>
        <v>51.155999999999999</v>
      </c>
      <c r="AB36">
        <f t="shared" si="11"/>
        <v>61.3872</v>
      </c>
      <c r="AC36" s="470">
        <f t="shared" si="12"/>
        <v>61.384160478985457</v>
      </c>
    </row>
    <row r="37" spans="1:29" ht="16.5" customHeight="1">
      <c r="A37" s="448">
        <v>25</v>
      </c>
      <c r="B37" s="385" t="s">
        <v>913</v>
      </c>
      <c r="C37" s="8">
        <v>2156</v>
      </c>
      <c r="D37" s="9">
        <v>2156</v>
      </c>
      <c r="E37" s="473">
        <f t="shared" si="0"/>
        <v>135.58156660302194</v>
      </c>
      <c r="F37" s="473">
        <v>163.19067577406611</v>
      </c>
      <c r="G37" s="473">
        <f t="shared" si="1"/>
        <v>298.77224237708805</v>
      </c>
      <c r="H37" s="8">
        <v>0</v>
      </c>
      <c r="I37" s="8">
        <v>0</v>
      </c>
      <c r="J37" s="8">
        <f t="shared" si="2"/>
        <v>0</v>
      </c>
      <c r="K37" s="473">
        <v>103.84962578233666</v>
      </c>
      <c r="L37" s="473">
        <v>99.431999999999988</v>
      </c>
      <c r="M37" s="473">
        <f t="shared" si="3"/>
        <v>203.28162578233665</v>
      </c>
      <c r="N37" s="222">
        <v>135.828</v>
      </c>
      <c r="O37" s="671">
        <v>162.99359999999999</v>
      </c>
      <c r="P37" s="473">
        <f t="shared" si="4"/>
        <v>298.82159999999999</v>
      </c>
      <c r="Q37" s="473">
        <f t="shared" si="5"/>
        <v>-31.978374217663344</v>
      </c>
      <c r="R37" s="473">
        <f t="shared" si="6"/>
        <v>-63.561599999999999</v>
      </c>
      <c r="S37" s="473">
        <f t="shared" si="7"/>
        <v>-95.539974217663342</v>
      </c>
      <c r="T37" s="19" t="s">
        <v>964</v>
      </c>
      <c r="U37" s="9">
        <v>2156</v>
      </c>
      <c r="V37" s="9">
        <v>2156</v>
      </c>
      <c r="W37" s="8">
        <v>2156</v>
      </c>
      <c r="X37" s="8">
        <v>3233</v>
      </c>
      <c r="Y37">
        <f t="shared" si="8"/>
        <v>5389</v>
      </c>
      <c r="Z37">
        <f t="shared" si="9"/>
        <v>298.82159999999999</v>
      </c>
      <c r="AA37">
        <f t="shared" si="10"/>
        <v>135.828</v>
      </c>
      <c r="AB37">
        <f t="shared" si="11"/>
        <v>162.99359999999999</v>
      </c>
      <c r="AC37" s="470">
        <f t="shared" si="12"/>
        <v>162.98552954765103</v>
      </c>
    </row>
    <row r="38" spans="1:29" ht="16.5" customHeight="1">
      <c r="A38" s="448">
        <v>26</v>
      </c>
      <c r="B38" s="385" t="s">
        <v>914</v>
      </c>
      <c r="C38" s="8">
        <v>2289</v>
      </c>
      <c r="D38" s="9">
        <v>2289</v>
      </c>
      <c r="E38" s="473">
        <f t="shared" si="0"/>
        <v>143.94536454281877</v>
      </c>
      <c r="F38" s="473">
        <v>173.03983169507106</v>
      </c>
      <c r="G38" s="473">
        <f t="shared" si="1"/>
        <v>316.9851962378898</v>
      </c>
      <c r="H38" s="8">
        <v>4.2199999999999989</v>
      </c>
      <c r="I38" s="8">
        <v>-5.2099999999999937</v>
      </c>
      <c r="J38" s="8">
        <f t="shared" si="2"/>
        <v>-0.98999999999999488</v>
      </c>
      <c r="K38" s="473">
        <v>68.45654073699491</v>
      </c>
      <c r="L38" s="473">
        <v>58.352000000000004</v>
      </c>
      <c r="M38" s="473">
        <f t="shared" si="3"/>
        <v>126.80854073699491</v>
      </c>
      <c r="N38" s="222">
        <v>144.20699999999999</v>
      </c>
      <c r="O38" s="671">
        <v>173.04840000000002</v>
      </c>
      <c r="P38" s="473">
        <f t="shared" si="4"/>
        <v>317.25540000000001</v>
      </c>
      <c r="Q38" s="473">
        <f t="shared" si="5"/>
        <v>-71.530459263005085</v>
      </c>
      <c r="R38" s="473">
        <f t="shared" si="6"/>
        <v>-119.9064</v>
      </c>
      <c r="S38" s="473">
        <f t="shared" si="7"/>
        <v>-191.43685926300509</v>
      </c>
      <c r="T38" s="19" t="s">
        <v>964</v>
      </c>
      <c r="U38" s="9">
        <v>2289</v>
      </c>
      <c r="V38" s="9">
        <v>2289</v>
      </c>
      <c r="W38" s="8">
        <v>2289</v>
      </c>
      <c r="X38" s="8">
        <v>949</v>
      </c>
      <c r="Y38">
        <f t="shared" si="8"/>
        <v>3238</v>
      </c>
      <c r="Z38">
        <f t="shared" si="9"/>
        <v>317.25540000000001</v>
      </c>
      <c r="AA38">
        <f t="shared" si="10"/>
        <v>144.20699999999999</v>
      </c>
      <c r="AB38">
        <f t="shared" si="11"/>
        <v>173.04840000000002</v>
      </c>
      <c r="AC38" s="470">
        <f t="shared" si="12"/>
        <v>173.03983169507106</v>
      </c>
    </row>
    <row r="39" spans="1:29" ht="16.5" customHeight="1">
      <c r="A39" s="448">
        <v>27</v>
      </c>
      <c r="B39" s="385" t="s">
        <v>915</v>
      </c>
      <c r="C39" s="8">
        <v>812</v>
      </c>
      <c r="D39" s="9">
        <v>812</v>
      </c>
      <c r="E39" s="473">
        <f t="shared" si="0"/>
        <v>51.063187421917355</v>
      </c>
      <c r="F39" s="473">
        <v>61.384160478985457</v>
      </c>
      <c r="G39" s="473">
        <f t="shared" si="1"/>
        <v>112.44734790090281</v>
      </c>
      <c r="H39" s="8">
        <v>3.240000000000002</v>
      </c>
      <c r="I39" s="8">
        <v>-4.009999999999998</v>
      </c>
      <c r="J39" s="8">
        <f t="shared" si="2"/>
        <v>-0.76999999999999602</v>
      </c>
      <c r="K39" s="473">
        <v>55.199919493251386</v>
      </c>
      <c r="L39" s="473">
        <v>51.943999999999988</v>
      </c>
      <c r="M39" s="473">
        <f t="shared" si="3"/>
        <v>107.14391949325137</v>
      </c>
      <c r="N39" s="222">
        <v>51.155999999999999</v>
      </c>
      <c r="O39" s="671">
        <v>61.3872</v>
      </c>
      <c r="P39" s="473">
        <f t="shared" si="4"/>
        <v>112.5432</v>
      </c>
      <c r="Q39" s="473">
        <f t="shared" si="5"/>
        <v>7.2839194932513891</v>
      </c>
      <c r="R39" s="473">
        <f t="shared" si="6"/>
        <v>-13.45320000000001</v>
      </c>
      <c r="S39" s="473">
        <f t="shared" si="7"/>
        <v>-6.1692805067486205</v>
      </c>
      <c r="T39" s="19" t="s">
        <v>964</v>
      </c>
      <c r="U39" s="9">
        <v>812</v>
      </c>
      <c r="V39" s="9">
        <v>812</v>
      </c>
      <c r="W39" s="8">
        <v>812</v>
      </c>
      <c r="X39" s="8">
        <v>1493</v>
      </c>
      <c r="Y39">
        <f t="shared" si="8"/>
        <v>2305</v>
      </c>
      <c r="Z39">
        <f t="shared" si="9"/>
        <v>112.5432</v>
      </c>
      <c r="AA39">
        <f t="shared" si="10"/>
        <v>51.155999999999999</v>
      </c>
      <c r="AB39">
        <f t="shared" si="11"/>
        <v>61.3872</v>
      </c>
      <c r="AC39" s="470">
        <f t="shared" si="12"/>
        <v>61.384160478985457</v>
      </c>
    </row>
    <row r="40" spans="1:29" ht="16.5" customHeight="1">
      <c r="A40" s="448">
        <v>28</v>
      </c>
      <c r="B40" s="385" t="s">
        <v>916</v>
      </c>
      <c r="C40" s="8">
        <v>942</v>
      </c>
      <c r="D40" s="9">
        <v>942</v>
      </c>
      <c r="E40" s="473">
        <f t="shared" si="0"/>
        <v>59.238328265327773</v>
      </c>
      <c r="F40" s="473">
        <v>71.211673856162932</v>
      </c>
      <c r="G40" s="473">
        <f t="shared" si="1"/>
        <v>130.45000212149071</v>
      </c>
      <c r="H40" s="8">
        <v>1.3500000000000014</v>
      </c>
      <c r="I40" s="8">
        <v>0.59000000000000341</v>
      </c>
      <c r="J40" s="8">
        <f t="shared" si="2"/>
        <v>1.9400000000000048</v>
      </c>
      <c r="K40" s="473">
        <v>54.74462816449909</v>
      </c>
      <c r="L40" s="473">
        <v>55.120000000000005</v>
      </c>
      <c r="M40" s="473">
        <f t="shared" si="3"/>
        <v>109.86462816449909</v>
      </c>
      <c r="N40" s="222">
        <v>59.346000000000004</v>
      </c>
      <c r="O40" s="671">
        <v>71.21520000000001</v>
      </c>
      <c r="P40" s="473">
        <f t="shared" si="4"/>
        <v>130.56120000000001</v>
      </c>
      <c r="Q40" s="473">
        <f t="shared" si="5"/>
        <v>-3.2513718355009118</v>
      </c>
      <c r="R40" s="473">
        <f t="shared" si="6"/>
        <v>-15.505200000000002</v>
      </c>
      <c r="S40" s="473">
        <f t="shared" si="7"/>
        <v>-18.756571835500921</v>
      </c>
      <c r="T40" s="19" t="s">
        <v>964</v>
      </c>
      <c r="U40" s="9">
        <v>942</v>
      </c>
      <c r="V40" s="9">
        <v>942</v>
      </c>
      <c r="W40" s="8">
        <v>942</v>
      </c>
      <c r="X40" s="8">
        <v>1411</v>
      </c>
      <c r="Y40">
        <f t="shared" si="8"/>
        <v>2353</v>
      </c>
      <c r="Z40">
        <f t="shared" si="9"/>
        <v>130.56120000000001</v>
      </c>
      <c r="AA40">
        <f t="shared" si="10"/>
        <v>59.346000000000004</v>
      </c>
      <c r="AB40">
        <f t="shared" si="11"/>
        <v>71.21520000000001</v>
      </c>
      <c r="AC40" s="470">
        <f t="shared" si="12"/>
        <v>71.211673856162932</v>
      </c>
    </row>
    <row r="41" spans="1:29" ht="16.5" customHeight="1">
      <c r="A41" s="448">
        <v>29</v>
      </c>
      <c r="B41" s="385" t="s">
        <v>917</v>
      </c>
      <c r="C41" s="8">
        <v>569</v>
      </c>
      <c r="D41" s="9">
        <v>569</v>
      </c>
      <c r="E41" s="473">
        <f t="shared" si="0"/>
        <v>35.781962614619431</v>
      </c>
      <c r="F41" s="473">
        <v>44.968557825187389</v>
      </c>
      <c r="G41" s="473">
        <f t="shared" si="1"/>
        <v>80.75052043980682</v>
      </c>
      <c r="H41" s="8">
        <v>-0.49000000000000199</v>
      </c>
      <c r="I41" s="8">
        <v>0.50999999999999801</v>
      </c>
      <c r="J41" s="8">
        <f t="shared" si="2"/>
        <v>1.9999999999996021E-2</v>
      </c>
      <c r="K41" s="473">
        <v>45.778379953012504</v>
      </c>
      <c r="L41" s="473">
        <v>42.668000000000006</v>
      </c>
      <c r="M41" s="473">
        <f t="shared" si="3"/>
        <v>88.44637995301251</v>
      </c>
      <c r="N41" s="222">
        <v>35.847000000000001</v>
      </c>
      <c r="O41" s="671">
        <v>43.016399999999997</v>
      </c>
      <c r="P41" s="473">
        <f t="shared" si="4"/>
        <v>78.863399999999999</v>
      </c>
      <c r="Q41" s="473">
        <f t="shared" si="5"/>
        <v>9.4413799530125004</v>
      </c>
      <c r="R41" s="473">
        <f t="shared" si="6"/>
        <v>0.16160000000000707</v>
      </c>
      <c r="S41" s="473">
        <f t="shared" si="7"/>
        <v>9.6029799530125075</v>
      </c>
      <c r="T41" s="19" t="s">
        <v>964</v>
      </c>
      <c r="U41" s="9">
        <v>569</v>
      </c>
      <c r="V41" s="9">
        <v>569</v>
      </c>
      <c r="W41" s="8">
        <v>569</v>
      </c>
      <c r="X41" s="8">
        <v>1300</v>
      </c>
      <c r="Y41">
        <f t="shared" si="8"/>
        <v>1869</v>
      </c>
      <c r="Z41">
        <f t="shared" si="9"/>
        <v>78.863399999999999</v>
      </c>
      <c r="AA41">
        <f t="shared" si="10"/>
        <v>35.847000000000001</v>
      </c>
      <c r="AB41">
        <f t="shared" si="11"/>
        <v>43.016399999999997</v>
      </c>
      <c r="AC41" s="470">
        <f t="shared" si="12"/>
        <v>43.014270089338332</v>
      </c>
    </row>
    <row r="42" spans="1:29" ht="16.5" customHeight="1">
      <c r="A42" s="448">
        <v>30</v>
      </c>
      <c r="B42" s="385" t="s">
        <v>918</v>
      </c>
      <c r="C42" s="8">
        <v>1304</v>
      </c>
      <c r="D42" s="9">
        <v>1304</v>
      </c>
      <c r="E42" s="473">
        <f t="shared" si="0"/>
        <v>82.002951229285998</v>
      </c>
      <c r="F42" s="473">
        <v>98.577518798764814</v>
      </c>
      <c r="G42" s="473">
        <f t="shared" si="1"/>
        <v>180.5804700280508</v>
      </c>
      <c r="H42" s="8">
        <v>1.730000000000004</v>
      </c>
      <c r="I42" s="8">
        <v>-2.1299999999999955</v>
      </c>
      <c r="J42" s="8">
        <f t="shared" si="2"/>
        <v>-0.39999999999999147</v>
      </c>
      <c r="K42" s="473">
        <v>75.807667884440534</v>
      </c>
      <c r="L42" s="473">
        <v>74.88</v>
      </c>
      <c r="M42" s="473">
        <f t="shared" si="3"/>
        <v>150.68766788444054</v>
      </c>
      <c r="N42" s="222">
        <v>82.151999999999987</v>
      </c>
      <c r="O42" s="671">
        <v>98.582400000000007</v>
      </c>
      <c r="P42" s="473">
        <f t="shared" si="4"/>
        <v>180.73439999999999</v>
      </c>
      <c r="Q42" s="473">
        <f t="shared" si="5"/>
        <v>-4.6143321155594492</v>
      </c>
      <c r="R42" s="473">
        <f t="shared" si="6"/>
        <v>-25.832400000000007</v>
      </c>
      <c r="S42" s="473">
        <f t="shared" si="7"/>
        <v>-30.446732115559428</v>
      </c>
      <c r="T42" s="19" t="s">
        <v>964</v>
      </c>
      <c r="U42" s="9">
        <v>1304</v>
      </c>
      <c r="V42" s="9">
        <v>1304</v>
      </c>
      <c r="W42" s="8">
        <v>1304</v>
      </c>
      <c r="X42" s="8">
        <v>2013</v>
      </c>
      <c r="Y42">
        <f t="shared" si="8"/>
        <v>3317</v>
      </c>
      <c r="Z42">
        <f t="shared" si="9"/>
        <v>180.73439999999999</v>
      </c>
      <c r="AA42">
        <f t="shared" si="10"/>
        <v>82.151999999999987</v>
      </c>
      <c r="AB42">
        <f t="shared" si="11"/>
        <v>98.582400000000007</v>
      </c>
      <c r="AC42" s="470">
        <f t="shared" si="12"/>
        <v>98.577518798764814</v>
      </c>
    </row>
    <row r="43" spans="1:29" ht="16.5" customHeight="1">
      <c r="A43" s="448">
        <v>31</v>
      </c>
      <c r="B43" s="385" t="s">
        <v>919</v>
      </c>
      <c r="C43" s="8">
        <v>781</v>
      </c>
      <c r="D43" s="9">
        <v>781</v>
      </c>
      <c r="E43" s="473">
        <f t="shared" si="0"/>
        <v>49.113730759257948</v>
      </c>
      <c r="F43" s="473">
        <v>59.040676519812365</v>
      </c>
      <c r="G43" s="473">
        <f t="shared" si="1"/>
        <v>108.15440727907031</v>
      </c>
      <c r="H43" s="8">
        <v>0</v>
      </c>
      <c r="I43" s="8">
        <v>0</v>
      </c>
      <c r="J43" s="8">
        <f t="shared" si="2"/>
        <v>0</v>
      </c>
      <c r="K43" s="473">
        <v>53.18932639912633</v>
      </c>
      <c r="L43" s="473">
        <v>57.339999999999989</v>
      </c>
      <c r="M43" s="473">
        <f t="shared" si="3"/>
        <v>110.52932639912632</v>
      </c>
      <c r="N43" s="222">
        <v>49.202999999999996</v>
      </c>
      <c r="O43" s="671">
        <v>59.043600000000005</v>
      </c>
      <c r="P43" s="473">
        <f t="shared" si="4"/>
        <v>108.2466</v>
      </c>
      <c r="Q43" s="473">
        <f t="shared" si="5"/>
        <v>3.9863263991263338</v>
      </c>
      <c r="R43" s="473">
        <f t="shared" si="6"/>
        <v>-1.7036000000000158</v>
      </c>
      <c r="S43" s="473">
        <f t="shared" si="7"/>
        <v>2.282726399126318</v>
      </c>
      <c r="T43" s="19" t="s">
        <v>964</v>
      </c>
      <c r="U43" s="9">
        <v>781</v>
      </c>
      <c r="V43" s="9">
        <v>781</v>
      </c>
      <c r="W43" s="8">
        <v>781</v>
      </c>
      <c r="X43" s="8">
        <v>926</v>
      </c>
      <c r="Y43">
        <f t="shared" si="8"/>
        <v>1707</v>
      </c>
      <c r="Z43">
        <f t="shared" si="9"/>
        <v>108.2466</v>
      </c>
      <c r="AA43">
        <f t="shared" si="10"/>
        <v>49.202999999999996</v>
      </c>
      <c r="AB43">
        <f t="shared" si="11"/>
        <v>59.043600000000005</v>
      </c>
      <c r="AC43" s="470">
        <f t="shared" si="12"/>
        <v>59.040676519812365</v>
      </c>
    </row>
    <row r="44" spans="1:29" ht="16.5" customHeight="1">
      <c r="A44" s="448">
        <v>32</v>
      </c>
      <c r="B44" s="385" t="s">
        <v>920</v>
      </c>
      <c r="C44" s="8">
        <v>1436</v>
      </c>
      <c r="D44" s="9">
        <v>1436</v>
      </c>
      <c r="E44" s="473">
        <f t="shared" si="0"/>
        <v>90.30386347028734</v>
      </c>
      <c r="F44" s="473">
        <v>108.55622468943733</v>
      </c>
      <c r="G44" s="473">
        <f t="shared" si="1"/>
        <v>198.86008815972468</v>
      </c>
      <c r="H44" s="8">
        <v>0.62999999999999545</v>
      </c>
      <c r="I44" s="8">
        <v>-0.78000000000000114</v>
      </c>
      <c r="J44" s="8">
        <f t="shared" si="2"/>
        <v>-0.15000000000000568</v>
      </c>
      <c r="K44" s="473">
        <v>59.344067573208306</v>
      </c>
      <c r="L44" s="473">
        <v>55.347999999999999</v>
      </c>
      <c r="M44" s="473">
        <f t="shared" si="3"/>
        <v>114.69206757320831</v>
      </c>
      <c r="N44" s="222">
        <v>90.468000000000004</v>
      </c>
      <c r="O44" s="671">
        <v>108.56159999999998</v>
      </c>
      <c r="P44" s="473">
        <f t="shared" si="4"/>
        <v>199.02959999999999</v>
      </c>
      <c r="Q44" s="473">
        <f t="shared" si="5"/>
        <v>-30.493932426791702</v>
      </c>
      <c r="R44" s="473">
        <f t="shared" si="6"/>
        <v>-53.993599999999986</v>
      </c>
      <c r="S44" s="473">
        <f t="shared" si="7"/>
        <v>-84.487532426791688</v>
      </c>
      <c r="T44" s="19" t="s">
        <v>964</v>
      </c>
      <c r="U44" s="9">
        <v>1436</v>
      </c>
      <c r="V44" s="9">
        <v>1436</v>
      </c>
      <c r="W44" s="8">
        <v>1436</v>
      </c>
      <c r="X44" s="8">
        <v>1120</v>
      </c>
      <c r="Y44">
        <f t="shared" si="8"/>
        <v>2556</v>
      </c>
      <c r="Z44">
        <f t="shared" si="9"/>
        <v>199.02959999999999</v>
      </c>
      <c r="AA44">
        <f t="shared" si="10"/>
        <v>90.468000000000004</v>
      </c>
      <c r="AB44">
        <f t="shared" si="11"/>
        <v>108.56159999999998</v>
      </c>
      <c r="AC44" s="470">
        <f t="shared" si="12"/>
        <v>108.55622468943733</v>
      </c>
    </row>
    <row r="45" spans="1:29" ht="16.5" customHeight="1">
      <c r="A45" s="448">
        <v>33</v>
      </c>
      <c r="B45" s="385" t="s">
        <v>921</v>
      </c>
      <c r="C45" s="8">
        <v>2689</v>
      </c>
      <c r="D45" s="9">
        <v>2689</v>
      </c>
      <c r="E45" s="473">
        <f t="shared" si="0"/>
        <v>169.09964406100465</v>
      </c>
      <c r="F45" s="473">
        <v>203.27833439407868</v>
      </c>
      <c r="G45" s="473">
        <f t="shared" si="1"/>
        <v>372.37797845508334</v>
      </c>
      <c r="H45" s="8">
        <v>1.1500000000000057</v>
      </c>
      <c r="I45" s="8">
        <v>-1.3899999999999864</v>
      </c>
      <c r="J45" s="8">
        <f t="shared" si="2"/>
        <v>-0.23999999999998067</v>
      </c>
      <c r="K45" s="473">
        <v>145.1149719802718</v>
      </c>
      <c r="L45" s="473">
        <v>144.136</v>
      </c>
      <c r="M45" s="473">
        <f t="shared" si="3"/>
        <v>289.2509719802718</v>
      </c>
      <c r="N45" s="222">
        <v>169.40700000000001</v>
      </c>
      <c r="O45" s="671">
        <v>203.2884</v>
      </c>
      <c r="P45" s="473">
        <f t="shared" si="4"/>
        <v>372.69540000000001</v>
      </c>
      <c r="Q45" s="473">
        <f t="shared" si="5"/>
        <v>-23.142028019728201</v>
      </c>
      <c r="R45" s="473">
        <f t="shared" si="6"/>
        <v>-60.542399999999986</v>
      </c>
      <c r="S45" s="473">
        <f t="shared" si="7"/>
        <v>-83.684428019728159</v>
      </c>
      <c r="T45" s="19" t="s">
        <v>964</v>
      </c>
      <c r="U45" s="9">
        <v>2689</v>
      </c>
      <c r="V45" s="9">
        <v>2689</v>
      </c>
      <c r="W45" s="8">
        <v>2689</v>
      </c>
      <c r="X45" s="8">
        <v>4033</v>
      </c>
      <c r="Y45">
        <f t="shared" si="8"/>
        <v>6722</v>
      </c>
      <c r="Z45">
        <f t="shared" si="9"/>
        <v>372.69540000000001</v>
      </c>
      <c r="AA45">
        <f t="shared" si="10"/>
        <v>169.40700000000001</v>
      </c>
      <c r="AB45">
        <f t="shared" si="11"/>
        <v>203.2884</v>
      </c>
      <c r="AC45" s="470">
        <f t="shared" si="12"/>
        <v>203.27833439407868</v>
      </c>
    </row>
    <row r="46" spans="1:29">
      <c r="A46" s="30" t="s">
        <v>19</v>
      </c>
      <c r="B46" s="9"/>
      <c r="C46" s="8">
        <f>SUM(C13:C45)</f>
        <v>42423</v>
      </c>
      <c r="D46" s="8">
        <f t="shared" ref="D46:V46" si="13">SUM(D13:D45)</f>
        <v>42423</v>
      </c>
      <c r="E46" s="8">
        <f t="shared" si="13"/>
        <v>2667.8000000000006</v>
      </c>
      <c r="F46" s="8">
        <v>3229.9099999999989</v>
      </c>
      <c r="G46" s="473">
        <f t="shared" si="1"/>
        <v>5897.7099999999991</v>
      </c>
      <c r="H46" s="8">
        <f t="shared" si="13"/>
        <v>32.099999999999973</v>
      </c>
      <c r="I46" s="8">
        <f t="shared" si="13"/>
        <v>-32.72</v>
      </c>
      <c r="J46" s="8">
        <f t="shared" si="2"/>
        <v>-0.62000000000002586</v>
      </c>
      <c r="K46" s="8">
        <f t="shared" si="13"/>
        <v>2635.2959999999998</v>
      </c>
      <c r="L46" s="8">
        <f t="shared" si="13"/>
        <v>2491.84</v>
      </c>
      <c r="M46" s="473">
        <f t="shared" si="3"/>
        <v>5127.1360000000004</v>
      </c>
      <c r="N46" s="8">
        <f t="shared" si="13"/>
        <v>2672.6489999999999</v>
      </c>
      <c r="O46" s="8">
        <f t="shared" si="13"/>
        <v>3207.1788000000001</v>
      </c>
      <c r="P46" s="473">
        <f t="shared" si="4"/>
        <v>5879.8278</v>
      </c>
      <c r="Q46" s="473">
        <f t="shared" si="5"/>
        <v>-5.2530000000001564</v>
      </c>
      <c r="R46" s="473">
        <f t="shared" si="6"/>
        <v>-748.05879999999979</v>
      </c>
      <c r="S46" s="473">
        <f t="shared" si="7"/>
        <v>-753.31179999999949</v>
      </c>
      <c r="T46" s="8">
        <f t="shared" si="13"/>
        <v>0</v>
      </c>
      <c r="U46" s="8">
        <f t="shared" si="13"/>
        <v>42423</v>
      </c>
      <c r="V46" s="8">
        <f t="shared" si="13"/>
        <v>42423</v>
      </c>
      <c r="AC46" s="470">
        <f>SUM(AC13:AC45)</f>
        <v>3207.0199999999991</v>
      </c>
    </row>
    <row r="47" spans="1:29">
      <c r="P47" s="678"/>
    </row>
    <row r="51" spans="1:21">
      <c r="A51" s="14" t="s">
        <v>12</v>
      </c>
      <c r="B51" s="14"/>
      <c r="N51" s="15"/>
      <c r="O51" s="15"/>
      <c r="P51" s="871" t="s">
        <v>13</v>
      </c>
      <c r="Q51" s="871"/>
      <c r="U51" s="14"/>
    </row>
    <row r="52" spans="1:21">
      <c r="A52" s="871" t="s">
        <v>14</v>
      </c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</row>
    <row r="53" spans="1:21">
      <c r="A53" s="871" t="s">
        <v>20</v>
      </c>
      <c r="B53" s="871"/>
      <c r="C53" s="871"/>
      <c r="D53" s="871"/>
      <c r="E53" s="871"/>
      <c r="F53" s="871"/>
      <c r="G53" s="871"/>
      <c r="H53" s="871"/>
      <c r="I53" s="871"/>
      <c r="J53" s="871"/>
      <c r="K53" s="871"/>
      <c r="L53" s="871"/>
      <c r="M53" s="871"/>
      <c r="N53" s="871"/>
      <c r="O53" s="871"/>
      <c r="P53" s="871"/>
      <c r="Q53" s="871"/>
    </row>
    <row r="54" spans="1:21">
      <c r="O54" s="851" t="s">
        <v>87</v>
      </c>
      <c r="P54" s="851"/>
      <c r="Q54" s="851"/>
    </row>
    <row r="56" spans="1:21">
      <c r="C56">
        <f>C46+'AT-8_Hon_CCH_Pry'!C47</f>
        <v>109922</v>
      </c>
      <c r="D56">
        <f>D46+'AT-8_Hon_CCH_Pry'!D47</f>
        <v>109922</v>
      </c>
      <c r="E56">
        <f>E46+'AT-8_Hon_CCH_Pry'!E47</f>
        <v>6669.4800000000014</v>
      </c>
      <c r="F56">
        <f>F46+'AT-8_Hon_CCH_Pry'!F47</f>
        <v>8369.239999999998</v>
      </c>
      <c r="L56">
        <v>67499</v>
      </c>
      <c r="M56">
        <v>42423</v>
      </c>
      <c r="N56">
        <f>SUM(L56:M56)</f>
        <v>109922</v>
      </c>
    </row>
    <row r="57" spans="1:21">
      <c r="C57">
        <f>6180</f>
        <v>6180</v>
      </c>
      <c r="L57">
        <v>8369.43</v>
      </c>
      <c r="M57">
        <v>59.33</v>
      </c>
      <c r="N57">
        <f>L57-M57</f>
        <v>8310.1</v>
      </c>
      <c r="O57" s="725">
        <f>N57/N56*L56</f>
        <v>5102.9224349993638</v>
      </c>
      <c r="P57" s="725">
        <f>N57/N56*M56</f>
        <v>3207.1775650006371</v>
      </c>
      <c r="Q57">
        <f>SUM(O57:P57)</f>
        <v>8310.1</v>
      </c>
    </row>
    <row r="59" spans="1:21">
      <c r="C59" s="14">
        <f>SUM(C56:C57)</f>
        <v>116102</v>
      </c>
      <c r="D59" s="14"/>
      <c r="E59" s="14">
        <f>C56*7200/100000</f>
        <v>7914.384</v>
      </c>
      <c r="F59" s="14">
        <f>C57*2*720/100000</f>
        <v>88.992000000000004</v>
      </c>
      <c r="G59" s="14">
        <f>SUM(E59:F59)</f>
        <v>8003.3760000000002</v>
      </c>
      <c r="H59" s="14"/>
      <c r="I59" s="14">
        <f>F46+'AT-8_Hon_CCH_Pry'!F47</f>
        <v>8369.239999999998</v>
      </c>
      <c r="J59" s="14"/>
      <c r="K59" s="14">
        <f>E56</f>
        <v>6669.4800000000014</v>
      </c>
      <c r="L59" s="14">
        <f>G59</f>
        <v>8003.3760000000002</v>
      </c>
      <c r="M59" s="14">
        <f>K59+L57</f>
        <v>15038.910000000002</v>
      </c>
    </row>
  </sheetData>
  <mergeCells count="23">
    <mergeCell ref="O54:Q54"/>
    <mergeCell ref="U10:U11"/>
    <mergeCell ref="T10:T11"/>
    <mergeCell ref="A10:A11"/>
    <mergeCell ref="B10:B11"/>
    <mergeCell ref="C10:C11"/>
    <mergeCell ref="P51:Q51"/>
    <mergeCell ref="A52:Q52"/>
    <mergeCell ref="A53:Q53"/>
    <mergeCell ref="D10:D11"/>
    <mergeCell ref="E10:G10"/>
    <mergeCell ref="H10:J10"/>
    <mergeCell ref="P8:V8"/>
    <mergeCell ref="Q1:V1"/>
    <mergeCell ref="K10:M10"/>
    <mergeCell ref="N10:P10"/>
    <mergeCell ref="Q10:S10"/>
    <mergeCell ref="A3:Q3"/>
    <mergeCell ref="A4:P4"/>
    <mergeCell ref="A5:Q5"/>
    <mergeCell ref="A7:S7"/>
    <mergeCell ref="P9:V9"/>
    <mergeCell ref="V10:V11"/>
  </mergeCells>
  <printOptions horizontalCentered="1"/>
  <pageMargins left="0.70866141732283472" right="0.70866141732283472" top="0.23622047244094491" bottom="0" header="0.31496062992125984" footer="0.31496062992125984"/>
  <pageSetup paperSize="9" scale="5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V51"/>
  <sheetViews>
    <sheetView view="pageBreakPreview" topLeftCell="A25" zoomScaleSheetLayoutView="100" workbookViewId="0">
      <selection activeCell="G37" sqref="G37"/>
    </sheetView>
  </sheetViews>
  <sheetFormatPr defaultRowHeight="12.75"/>
  <cols>
    <col min="1" max="1" width="9.140625" style="15"/>
    <col min="2" max="2" width="19.5703125" style="15" customWidth="1"/>
    <col min="3" max="3" width="16.5703125" style="15" customWidth="1"/>
    <col min="4" max="4" width="15.85546875" style="15" customWidth="1"/>
    <col min="5" max="5" width="18.85546875" style="15" customWidth="1"/>
    <col min="6" max="6" width="19" style="15" customWidth="1"/>
    <col min="7" max="7" width="22.5703125" style="15" customWidth="1"/>
    <col min="8" max="8" width="16.7109375" style="15" customWidth="1"/>
    <col min="9" max="9" width="30.140625" style="15" customWidth="1"/>
    <col min="10" max="12" width="9.140625" style="15"/>
    <col min="13" max="13" width="10.5703125" style="15" bestFit="1" customWidth="1"/>
    <col min="14" max="14" width="9.140625" style="15"/>
    <col min="15" max="15" width="9.5703125" style="15" bestFit="1" customWidth="1"/>
    <col min="16" max="16384" width="9.140625" style="15"/>
  </cols>
  <sheetData>
    <row r="1" spans="1:22" customFormat="1" ht="15">
      <c r="I1" s="41" t="s">
        <v>69</v>
      </c>
      <c r="J1" s="43"/>
    </row>
    <row r="2" spans="1:22" customFormat="1" ht="15">
      <c r="D2" s="45" t="s">
        <v>0</v>
      </c>
      <c r="E2" s="45"/>
      <c r="F2" s="45"/>
      <c r="G2" s="45"/>
      <c r="H2" s="45"/>
      <c r="I2" s="45"/>
      <c r="J2" s="45"/>
    </row>
    <row r="3" spans="1:22" customFormat="1" ht="20.25" customHeight="1">
      <c r="B3" s="172"/>
      <c r="C3" s="991" t="s">
        <v>705</v>
      </c>
      <c r="D3" s="991"/>
      <c r="E3" s="991"/>
      <c r="F3" s="991"/>
      <c r="G3" s="136"/>
      <c r="H3" s="136"/>
      <c r="I3" s="136"/>
      <c r="J3" s="44"/>
    </row>
    <row r="4" spans="1:22" customFormat="1" ht="10.5" customHeight="1"/>
    <row r="5" spans="1:22" ht="30.75" customHeight="1">
      <c r="A5" s="992" t="s">
        <v>766</v>
      </c>
      <c r="B5" s="992"/>
      <c r="C5" s="992"/>
      <c r="D5" s="992"/>
      <c r="E5" s="992"/>
      <c r="F5" s="992"/>
      <c r="G5" s="992"/>
      <c r="H5" s="992"/>
      <c r="I5" s="992"/>
    </row>
    <row r="7" spans="1:22" ht="0.75" customHeight="1"/>
    <row r="8" spans="1:22">
      <c r="A8" s="14" t="s">
        <v>29</v>
      </c>
      <c r="B8" s="677" t="s">
        <v>1041</v>
      </c>
      <c r="I8" s="33" t="s">
        <v>25</v>
      </c>
    </row>
    <row r="9" spans="1:22">
      <c r="D9" s="922" t="s">
        <v>785</v>
      </c>
      <c r="E9" s="922"/>
      <c r="F9" s="922"/>
      <c r="G9" s="922"/>
      <c r="H9" s="922"/>
      <c r="I9" s="922"/>
      <c r="U9" s="19"/>
      <c r="V9" s="22"/>
    </row>
    <row r="10" spans="1:22" ht="44.25" customHeight="1">
      <c r="A10" s="5" t="s">
        <v>2</v>
      </c>
      <c r="B10" s="5" t="s">
        <v>3</v>
      </c>
      <c r="C10" s="2" t="s">
        <v>765</v>
      </c>
      <c r="D10" s="2" t="s">
        <v>800</v>
      </c>
      <c r="E10" s="2" t="s">
        <v>118</v>
      </c>
      <c r="F10" s="5" t="s">
        <v>229</v>
      </c>
      <c r="G10" s="2" t="s">
        <v>868</v>
      </c>
      <c r="H10" s="2" t="s">
        <v>159</v>
      </c>
      <c r="I10" s="34" t="s">
        <v>798</v>
      </c>
      <c r="J10" s="993" t="s">
        <v>962</v>
      </c>
      <c r="K10" s="994"/>
      <c r="L10" s="994"/>
    </row>
    <row r="11" spans="1:22" s="122" customFormat="1" ht="15.75" customHeight="1">
      <c r="A11" s="68">
        <v>1</v>
      </c>
      <c r="B11" s="67">
        <v>2</v>
      </c>
      <c r="C11" s="68">
        <v>3</v>
      </c>
      <c r="D11" s="67">
        <v>4</v>
      </c>
      <c r="E11" s="68">
        <v>5</v>
      </c>
      <c r="F11" s="67">
        <v>6</v>
      </c>
      <c r="G11" s="68">
        <v>7</v>
      </c>
      <c r="H11" s="67">
        <v>8</v>
      </c>
      <c r="I11" s="68">
        <v>9</v>
      </c>
      <c r="J11" s="122" t="s">
        <v>960</v>
      </c>
      <c r="K11" s="122" t="s">
        <v>961</v>
      </c>
      <c r="L11" s="122" t="s">
        <v>19</v>
      </c>
    </row>
    <row r="12" spans="1:22" ht="18.75">
      <c r="A12" s="445">
        <v>1</v>
      </c>
      <c r="B12" s="415" t="s">
        <v>889</v>
      </c>
      <c r="C12" s="705">
        <v>34.961124000000005</v>
      </c>
      <c r="D12" s="445">
        <v>15.340000000000003</v>
      </c>
      <c r="E12" s="429">
        <v>21.682819966221786</v>
      </c>
      <c r="F12" s="446">
        <v>0</v>
      </c>
      <c r="G12" s="446">
        <v>75</v>
      </c>
      <c r="H12" s="467">
        <v>19.461152990608014</v>
      </c>
      <c r="I12" s="429">
        <f>D12+E12+F12-H12</f>
        <v>17.561666975613775</v>
      </c>
      <c r="J12" s="15">
        <v>144203</v>
      </c>
      <c r="K12" s="15">
        <v>81946</v>
      </c>
      <c r="L12" s="15">
        <f>SUM(J12:K12)</f>
        <v>226149</v>
      </c>
      <c r="M12" s="456">
        <f>971.01/6265346*L12</f>
        <v>35.048813024851299</v>
      </c>
      <c r="N12" s="456">
        <f>11620.48/6265346*L12</f>
        <v>419.44370375075857</v>
      </c>
      <c r="O12" s="469">
        <f>14602.8/6265346*L12</f>
        <v>527.09118015190222</v>
      </c>
      <c r="P12" s="456">
        <f>9722.09/6265346*L12</f>
        <v>350.92091185546656</v>
      </c>
      <c r="R12" s="464">
        <f>T6_FG_py_Utlsn!C12+T6_FG_py_Utlsn!H12+'T6A_FG_Upy_Utlsn '!C12+'T6A_FG_Upy_Utlsn '!H12</f>
        <v>4661.4832000000006</v>
      </c>
      <c r="S12" s="15">
        <f>R12*750/100000</f>
        <v>34.961124000000005</v>
      </c>
    </row>
    <row r="13" spans="1:22" ht="18.75">
      <c r="A13" s="445">
        <v>2</v>
      </c>
      <c r="B13" s="415" t="s">
        <v>890</v>
      </c>
      <c r="C13" s="705">
        <v>46.806435</v>
      </c>
      <c r="D13" s="445">
        <v>26.810000000000002</v>
      </c>
      <c r="E13" s="429">
        <v>28.128896543911686</v>
      </c>
      <c r="F13" s="446">
        <v>0</v>
      </c>
      <c r="G13" s="446">
        <v>75</v>
      </c>
      <c r="H13" s="467">
        <v>25.246751112209594</v>
      </c>
      <c r="I13" s="429">
        <f t="shared" ref="I13:I44" si="0">D13+E13+F13-H13</f>
        <v>29.692145431702095</v>
      </c>
      <c r="J13" s="15">
        <v>195117</v>
      </c>
      <c r="K13" s="15">
        <v>98258</v>
      </c>
      <c r="L13" s="447">
        <f t="shared" ref="L13:L45" si="1">SUM(J13:K13)</f>
        <v>293375</v>
      </c>
      <c r="M13" s="456">
        <f t="shared" ref="M13:M44" si="2">971.01/6265346*L13</f>
        <v>45.467570146963944</v>
      </c>
      <c r="N13" s="456">
        <f t="shared" ref="N13:N44" si="3">11620.48/6265346*L13</f>
        <v>544.12929788713984</v>
      </c>
      <c r="O13" s="469">
        <f t="shared" ref="O13:O44" si="4">14602.8/6265346*L13</f>
        <v>683.77651449736379</v>
      </c>
      <c r="P13" s="456">
        <f t="shared" ref="P13:P44" si="5">9722.09/6265346*L13</f>
        <v>455.23713355176233</v>
      </c>
      <c r="R13" s="464">
        <f>T6_FG_py_Utlsn!C13+T6_FG_py_Utlsn!H13+'T6A_FG_Upy_Utlsn '!C13+'T6A_FG_Upy_Utlsn '!H13</f>
        <v>6240.8580000000002</v>
      </c>
      <c r="S13" s="707">
        <f t="shared" ref="S13:S44" si="6">R13*750/100000</f>
        <v>46.806435</v>
      </c>
    </row>
    <row r="14" spans="1:22" ht="12" customHeight="1">
      <c r="A14" s="445">
        <v>3</v>
      </c>
      <c r="B14" s="415" t="s">
        <v>891</v>
      </c>
      <c r="C14" s="705">
        <v>42.152021999999995</v>
      </c>
      <c r="D14" s="445">
        <v>11.630000000000003</v>
      </c>
      <c r="E14" s="429">
        <v>26.83596947602571</v>
      </c>
      <c r="F14" s="446">
        <v>0</v>
      </c>
      <c r="G14" s="446">
        <v>75</v>
      </c>
      <c r="H14" s="467">
        <v>24.086300049431543</v>
      </c>
      <c r="I14" s="429">
        <f t="shared" si="0"/>
        <v>14.37966942659417</v>
      </c>
      <c r="J14" s="15">
        <v>184011</v>
      </c>
      <c r="K14" s="15">
        <v>95878</v>
      </c>
      <c r="L14" s="447">
        <f t="shared" si="1"/>
        <v>279889</v>
      </c>
      <c r="M14" s="456">
        <f t="shared" si="2"/>
        <v>43.37749549506124</v>
      </c>
      <c r="N14" s="456">
        <f t="shared" si="3"/>
        <v>519.11650637011905</v>
      </c>
      <c r="O14" s="469">
        <f t="shared" si="4"/>
        <v>652.3443540388671</v>
      </c>
      <c r="P14" s="456">
        <f t="shared" si="5"/>
        <v>434.31057885869353</v>
      </c>
      <c r="R14" s="464">
        <f>T6_FG_py_Utlsn!C14+T6_FG_py_Utlsn!H14+'T6A_FG_Upy_Utlsn '!C14+'T6A_FG_Upy_Utlsn '!H14</f>
        <v>5620.2695999999996</v>
      </c>
      <c r="S14" s="707">
        <f t="shared" si="6"/>
        <v>42.152021999999995</v>
      </c>
    </row>
    <row r="15" spans="1:22" ht="18.75">
      <c r="A15" s="445">
        <v>4</v>
      </c>
      <c r="B15" s="415" t="s">
        <v>892</v>
      </c>
      <c r="C15" s="705">
        <v>17.110464</v>
      </c>
      <c r="D15" s="445">
        <v>8.990000000000002</v>
      </c>
      <c r="E15" s="429">
        <v>11.630157357060472</v>
      </c>
      <c r="F15" s="446">
        <v>0</v>
      </c>
      <c r="G15" s="446">
        <v>75</v>
      </c>
      <c r="H15" s="467">
        <v>10.438507167572913</v>
      </c>
      <c r="I15" s="429">
        <f t="shared" si="0"/>
        <v>10.181650189487561</v>
      </c>
      <c r="J15" s="15">
        <v>81526</v>
      </c>
      <c r="K15" s="15">
        <v>39761</v>
      </c>
      <c r="L15" s="447">
        <f t="shared" si="1"/>
        <v>121287</v>
      </c>
      <c r="M15" s="456">
        <f t="shared" si="2"/>
        <v>18.797188514409257</v>
      </c>
      <c r="N15" s="456">
        <f t="shared" si="3"/>
        <v>224.95376277064346</v>
      </c>
      <c r="O15" s="469">
        <f t="shared" si="4"/>
        <v>282.68667103141632</v>
      </c>
      <c r="P15" s="456">
        <f t="shared" si="5"/>
        <v>188.20399221846645</v>
      </c>
      <c r="R15" s="464">
        <f>T6_FG_py_Utlsn!C15+T6_FG_py_Utlsn!H15+'T6A_FG_Upy_Utlsn '!C15+'T6A_FG_Upy_Utlsn '!H15</f>
        <v>2281.3951999999999</v>
      </c>
      <c r="S15" s="707">
        <f t="shared" si="6"/>
        <v>17.110464</v>
      </c>
    </row>
    <row r="16" spans="1:22" ht="15.75" customHeight="1">
      <c r="A16" s="445">
        <v>5</v>
      </c>
      <c r="B16" s="415" t="s">
        <v>893</v>
      </c>
      <c r="C16" s="705">
        <v>72.475473000000008</v>
      </c>
      <c r="D16" s="445">
        <v>35.96</v>
      </c>
      <c r="E16" s="429">
        <v>39.140428509639158</v>
      </c>
      <c r="F16" s="446">
        <v>0</v>
      </c>
      <c r="G16" s="446">
        <v>75</v>
      </c>
      <c r="H16" s="467">
        <v>35.130018536826505</v>
      </c>
      <c r="I16" s="429">
        <f t="shared" si="0"/>
        <v>39.970409972812654</v>
      </c>
      <c r="J16" s="15">
        <v>293985</v>
      </c>
      <c r="K16" s="15">
        <v>114251</v>
      </c>
      <c r="L16" s="447">
        <f t="shared" si="1"/>
        <v>408236</v>
      </c>
      <c r="M16" s="456">
        <f t="shared" si="2"/>
        <v>63.268850333245759</v>
      </c>
      <c r="N16" s="456">
        <f t="shared" si="3"/>
        <v>757.16461202302321</v>
      </c>
      <c r="O16" s="469">
        <f t="shared" si="4"/>
        <v>951.48594519759968</v>
      </c>
      <c r="P16" s="456">
        <f t="shared" si="5"/>
        <v>633.46974504520574</v>
      </c>
      <c r="R16" s="464">
        <f>T6_FG_py_Utlsn!C16+T6_FG_py_Utlsn!H16+'T6A_FG_Upy_Utlsn '!C16+'T6A_FG_Upy_Utlsn '!H16</f>
        <v>9663.3964000000014</v>
      </c>
      <c r="S16" s="707">
        <f t="shared" si="6"/>
        <v>72.475473000000008</v>
      </c>
    </row>
    <row r="17" spans="1:19" ht="12.75" customHeight="1">
      <c r="A17" s="445">
        <v>6</v>
      </c>
      <c r="B17" s="415" t="s">
        <v>894</v>
      </c>
      <c r="C17" s="705">
        <v>31.551506999999997</v>
      </c>
      <c r="D17" s="445">
        <v>11.629999999999999</v>
      </c>
      <c r="E17" s="429">
        <v>19.251622178283082</v>
      </c>
      <c r="F17" s="446">
        <v>0</v>
      </c>
      <c r="G17" s="446">
        <v>75</v>
      </c>
      <c r="H17" s="467">
        <v>17.279060800790909</v>
      </c>
      <c r="I17" s="429">
        <f t="shared" si="0"/>
        <v>13.602561377492172</v>
      </c>
      <c r="J17" s="15">
        <v>130508</v>
      </c>
      <c r="K17" s="15">
        <v>70320</v>
      </c>
      <c r="L17" s="447">
        <f t="shared" si="1"/>
        <v>200828</v>
      </c>
      <c r="M17" s="456">
        <f t="shared" si="2"/>
        <v>31.124537460500981</v>
      </c>
      <c r="N17" s="456">
        <f t="shared" si="3"/>
        <v>372.48026803946664</v>
      </c>
      <c r="O17" s="469">
        <f t="shared" si="4"/>
        <v>468.07488659046123</v>
      </c>
      <c r="P17" s="456">
        <f t="shared" si="5"/>
        <v>311.6296993845192</v>
      </c>
      <c r="R17" s="464">
        <f>T6_FG_py_Utlsn!C17+T6_FG_py_Utlsn!H17+'T6A_FG_Upy_Utlsn '!C17+'T6A_FG_Upy_Utlsn '!H17</f>
        <v>4206.8675999999996</v>
      </c>
      <c r="S17" s="707">
        <f t="shared" si="6"/>
        <v>31.551506999999997</v>
      </c>
    </row>
    <row r="18" spans="1:19" ht="12.75" customHeight="1">
      <c r="A18" s="445">
        <v>7</v>
      </c>
      <c r="B18" s="415" t="s">
        <v>895</v>
      </c>
      <c r="C18" s="705">
        <v>43.236593999999997</v>
      </c>
      <c r="D18" s="445">
        <v>10.169999999999998</v>
      </c>
      <c r="E18" s="429">
        <v>25.672953740319659</v>
      </c>
      <c r="F18" s="446">
        <v>0</v>
      </c>
      <c r="G18" s="446">
        <v>75</v>
      </c>
      <c r="H18" s="467">
        <v>23.042449332674249</v>
      </c>
      <c r="I18" s="429">
        <f t="shared" si="0"/>
        <v>12.800504407645409</v>
      </c>
      <c r="J18" s="15">
        <v>172465</v>
      </c>
      <c r="K18" s="15">
        <v>95280</v>
      </c>
      <c r="L18" s="447">
        <f t="shared" si="1"/>
        <v>267745</v>
      </c>
      <c r="M18" s="456">
        <f t="shared" si="2"/>
        <v>41.495405433315248</v>
      </c>
      <c r="N18" s="456">
        <f t="shared" si="3"/>
        <v>496.59275283440053</v>
      </c>
      <c r="O18" s="469">
        <f t="shared" si="4"/>
        <v>624.04002683969884</v>
      </c>
      <c r="P18" s="456">
        <f t="shared" si="5"/>
        <v>415.46643825416822</v>
      </c>
      <c r="R18" s="464">
        <f>T6_FG_py_Utlsn!C18+T6_FG_py_Utlsn!H18+'T6A_FG_Upy_Utlsn '!C18+'T6A_FG_Upy_Utlsn '!H18</f>
        <v>5764.8791999999994</v>
      </c>
      <c r="S18" s="707">
        <f t="shared" si="6"/>
        <v>43.236593999999997</v>
      </c>
    </row>
    <row r="19" spans="1:19" ht="18.75">
      <c r="A19" s="445">
        <v>8</v>
      </c>
      <c r="B19" s="415" t="s">
        <v>896</v>
      </c>
      <c r="C19" s="705">
        <v>28.876902000000001</v>
      </c>
      <c r="D19" s="445">
        <v>0.35000000000000142</v>
      </c>
      <c r="E19" s="429">
        <v>19.115524592189818</v>
      </c>
      <c r="F19" s="446">
        <v>0</v>
      </c>
      <c r="G19" s="446">
        <v>75</v>
      </c>
      <c r="H19" s="467">
        <v>17.156908057340587</v>
      </c>
      <c r="I19" s="429">
        <f t="shared" si="0"/>
        <v>2.3086165348492322</v>
      </c>
      <c r="J19" s="15">
        <v>133348</v>
      </c>
      <c r="K19" s="15">
        <v>66000</v>
      </c>
      <c r="L19" s="447">
        <f t="shared" si="1"/>
        <v>199348</v>
      </c>
      <c r="M19" s="456">
        <f t="shared" si="2"/>
        <v>30.895165483278973</v>
      </c>
      <c r="N19" s="456">
        <f t="shared" si="3"/>
        <v>369.73527831344035</v>
      </c>
      <c r="O19" s="469">
        <f t="shared" si="4"/>
        <v>464.62541324932414</v>
      </c>
      <c r="P19" s="456">
        <f t="shared" si="5"/>
        <v>309.33314733456058</v>
      </c>
      <c r="R19" s="464">
        <f>T6_FG_py_Utlsn!C19+T6_FG_py_Utlsn!H19+'T6A_FG_Upy_Utlsn '!C19+'T6A_FG_Upy_Utlsn '!H19</f>
        <v>3850.2536</v>
      </c>
      <c r="S19" s="707">
        <f t="shared" si="6"/>
        <v>28.876902000000001</v>
      </c>
    </row>
    <row r="20" spans="1:19" ht="18.75">
      <c r="A20" s="445">
        <v>9</v>
      </c>
      <c r="B20" s="415" t="s">
        <v>897</v>
      </c>
      <c r="C20" s="705">
        <v>16.838415000000001</v>
      </c>
      <c r="D20" s="445">
        <v>7.73</v>
      </c>
      <c r="E20" s="429">
        <v>10.640356730927666</v>
      </c>
      <c r="F20" s="446">
        <v>0</v>
      </c>
      <c r="G20" s="446">
        <v>75</v>
      </c>
      <c r="H20" s="467">
        <v>9.5501235788433032</v>
      </c>
      <c r="I20" s="429">
        <f t="shared" si="0"/>
        <v>8.8202331520843646</v>
      </c>
      <c r="J20" s="15">
        <v>72007</v>
      </c>
      <c r="K20" s="15">
        <v>39005</v>
      </c>
      <c r="L20" s="447">
        <f t="shared" si="1"/>
        <v>111012</v>
      </c>
      <c r="M20" s="456">
        <f t="shared" si="2"/>
        <v>17.204758064438899</v>
      </c>
      <c r="N20" s="456">
        <f t="shared" si="3"/>
        <v>205.89648612542709</v>
      </c>
      <c r="O20" s="469">
        <f t="shared" si="4"/>
        <v>258.73846928804892</v>
      </c>
      <c r="P20" s="456">
        <f t="shared" si="5"/>
        <v>172.26002443919299</v>
      </c>
      <c r="R20" s="464">
        <f>T6_FG_py_Utlsn!C20+T6_FG_py_Utlsn!H20+'T6A_FG_Upy_Utlsn '!C20+'T6A_FG_Upy_Utlsn '!H20</f>
        <v>2245.1220000000003</v>
      </c>
      <c r="S20" s="707">
        <f t="shared" si="6"/>
        <v>16.838415000000001</v>
      </c>
    </row>
    <row r="21" spans="1:19" ht="18.75">
      <c r="A21" s="445">
        <v>10</v>
      </c>
      <c r="B21" s="415" t="s">
        <v>898</v>
      </c>
      <c r="C21" s="705">
        <v>24.187217999999994</v>
      </c>
      <c r="D21" s="445">
        <v>10.61</v>
      </c>
      <c r="E21" s="429">
        <v>14.952175708518705</v>
      </c>
      <c r="F21" s="446">
        <v>0</v>
      </c>
      <c r="G21" s="446">
        <v>75</v>
      </c>
      <c r="H21" s="467">
        <v>13.420144587246668</v>
      </c>
      <c r="I21" s="429">
        <f t="shared" si="0"/>
        <v>12.142031121272037</v>
      </c>
      <c r="J21" s="15">
        <v>98963</v>
      </c>
      <c r="K21" s="15">
        <v>56987</v>
      </c>
      <c r="L21" s="447">
        <f t="shared" si="1"/>
        <v>155950</v>
      </c>
      <c r="M21" s="456">
        <f t="shared" si="2"/>
        <v>24.169297194440656</v>
      </c>
      <c r="N21" s="456">
        <f t="shared" si="3"/>
        <v>289.24401876608249</v>
      </c>
      <c r="O21" s="469">
        <f t="shared" si="4"/>
        <v>363.47659969617001</v>
      </c>
      <c r="P21" s="456">
        <f t="shared" si="5"/>
        <v>241.9914136425985</v>
      </c>
      <c r="R21" s="464">
        <f>T6_FG_py_Utlsn!C21+T6_FG_py_Utlsn!H21+'T6A_FG_Upy_Utlsn '!C21+'T6A_FG_Upy_Utlsn '!H21</f>
        <v>3224.9623999999994</v>
      </c>
      <c r="S21" s="707">
        <f t="shared" si="6"/>
        <v>24.187217999999994</v>
      </c>
    </row>
    <row r="22" spans="1:19" ht="18.75">
      <c r="A22" s="445">
        <v>11</v>
      </c>
      <c r="B22" s="415" t="s">
        <v>899</v>
      </c>
      <c r="C22" s="705">
        <v>27.156588000000003</v>
      </c>
      <c r="D22" s="445">
        <v>6.7100000000000009</v>
      </c>
      <c r="E22" s="429">
        <v>16.059515159004782</v>
      </c>
      <c r="F22" s="446">
        <v>0</v>
      </c>
      <c r="G22" s="446">
        <v>75</v>
      </c>
      <c r="H22" s="467">
        <v>14.414023727137918</v>
      </c>
      <c r="I22" s="429">
        <f t="shared" si="0"/>
        <v>8.3554914318668647</v>
      </c>
      <c r="J22" s="15">
        <v>105492</v>
      </c>
      <c r="K22" s="15">
        <v>61981</v>
      </c>
      <c r="L22" s="447">
        <f t="shared" si="1"/>
        <v>167473</v>
      </c>
      <c r="M22" s="456">
        <f t="shared" si="2"/>
        <v>25.955144014392818</v>
      </c>
      <c r="N22" s="456">
        <f t="shared" si="3"/>
        <v>310.61598945054271</v>
      </c>
      <c r="O22" s="469">
        <f t="shared" si="4"/>
        <v>390.33354652719896</v>
      </c>
      <c r="P22" s="456">
        <f t="shared" si="5"/>
        <v>259.87193342075602</v>
      </c>
      <c r="R22" s="464">
        <f>T6_FG_py_Utlsn!C22+T6_FG_py_Utlsn!H22+'T6A_FG_Upy_Utlsn '!C22+'T6A_FG_Upy_Utlsn '!H22</f>
        <v>3620.8784000000005</v>
      </c>
      <c r="S22" s="707">
        <f t="shared" si="6"/>
        <v>27.156588000000003</v>
      </c>
    </row>
    <row r="23" spans="1:19" ht="18.75">
      <c r="A23" s="445">
        <v>12</v>
      </c>
      <c r="B23" s="415" t="s">
        <v>900</v>
      </c>
      <c r="C23" s="705">
        <v>20.829975000000001</v>
      </c>
      <c r="D23" s="445">
        <v>9.1000000000000014</v>
      </c>
      <c r="E23" s="429">
        <v>12.564281697973307</v>
      </c>
      <c r="F23" s="446">
        <v>0</v>
      </c>
      <c r="G23" s="446">
        <v>75</v>
      </c>
      <c r="H23" s="467">
        <v>11.276919179436483</v>
      </c>
      <c r="I23" s="429">
        <f t="shared" si="0"/>
        <v>10.387362518536825</v>
      </c>
      <c r="J23" s="15">
        <v>82295</v>
      </c>
      <c r="K23" s="15">
        <v>48770</v>
      </c>
      <c r="L23" s="447">
        <f t="shared" si="1"/>
        <v>131065</v>
      </c>
      <c r="M23" s="456">
        <f t="shared" si="2"/>
        <v>20.312593374731417</v>
      </c>
      <c r="N23" s="456">
        <f t="shared" si="3"/>
        <v>243.08924219029564</v>
      </c>
      <c r="O23" s="469">
        <f t="shared" si="4"/>
        <v>305.4765023352262</v>
      </c>
      <c r="P23" s="456">
        <f t="shared" si="5"/>
        <v>203.37675299177411</v>
      </c>
      <c r="R23" s="464">
        <f>T6_FG_py_Utlsn!C23+T6_FG_py_Utlsn!H23+'T6A_FG_Upy_Utlsn '!C23+'T6A_FG_Upy_Utlsn '!H23</f>
        <v>2777.33</v>
      </c>
      <c r="S23" s="707">
        <f t="shared" si="6"/>
        <v>20.829975000000001</v>
      </c>
    </row>
    <row r="24" spans="1:19" ht="18.75">
      <c r="A24" s="445">
        <v>13</v>
      </c>
      <c r="B24" s="415" t="s">
        <v>901</v>
      </c>
      <c r="C24" s="705">
        <v>22.010390999999995</v>
      </c>
      <c r="D24" s="445">
        <v>13.100000000000001</v>
      </c>
      <c r="E24" s="429">
        <v>14.568627965892242</v>
      </c>
      <c r="F24" s="446">
        <v>0</v>
      </c>
      <c r="G24" s="446">
        <v>75</v>
      </c>
      <c r="H24" s="467">
        <v>13.075895946613942</v>
      </c>
      <c r="I24" s="429">
        <f t="shared" si="0"/>
        <v>14.5927320192783</v>
      </c>
      <c r="J24" s="15">
        <v>104744</v>
      </c>
      <c r="K24" s="15">
        <v>47235</v>
      </c>
      <c r="L24" s="447">
        <f t="shared" si="1"/>
        <v>151979</v>
      </c>
      <c r="M24" s="456">
        <f t="shared" si="2"/>
        <v>23.553867382583498</v>
      </c>
      <c r="N24" s="456">
        <f t="shared" si="3"/>
        <v>281.87891457550791</v>
      </c>
      <c r="O24" s="469">
        <f t="shared" si="4"/>
        <v>354.22128980586228</v>
      </c>
      <c r="P24" s="456">
        <f t="shared" si="5"/>
        <v>235.82951621666226</v>
      </c>
      <c r="R24" s="464">
        <f>T6_FG_py_Utlsn!C24+T6_FG_py_Utlsn!H24+'T6A_FG_Upy_Utlsn '!C24+'T6A_FG_Upy_Utlsn '!H24</f>
        <v>2934.7187999999996</v>
      </c>
      <c r="S24" s="707">
        <f t="shared" si="6"/>
        <v>22.010390999999995</v>
      </c>
    </row>
    <row r="25" spans="1:19" ht="18.75">
      <c r="A25" s="445">
        <v>14</v>
      </c>
      <c r="B25" s="415" t="s">
        <v>902</v>
      </c>
      <c r="C25" s="705">
        <v>32.874303000000005</v>
      </c>
      <c r="D25" s="445">
        <v>5.9599999999999973</v>
      </c>
      <c r="E25" s="429">
        <v>20.513617976602408</v>
      </c>
      <c r="F25" s="446">
        <v>0</v>
      </c>
      <c r="G25" s="446">
        <v>75</v>
      </c>
      <c r="H25" s="467">
        <v>18.411749876421158</v>
      </c>
      <c r="I25" s="429">
        <f t="shared" si="0"/>
        <v>8.0618681001812469</v>
      </c>
      <c r="J25" s="15">
        <v>136114</v>
      </c>
      <c r="K25" s="15">
        <v>77832</v>
      </c>
      <c r="L25" s="447">
        <f t="shared" si="1"/>
        <v>213946</v>
      </c>
      <c r="M25" s="456">
        <f t="shared" si="2"/>
        <v>33.157579080229567</v>
      </c>
      <c r="N25" s="456">
        <f t="shared" si="3"/>
        <v>396.81052157055655</v>
      </c>
      <c r="O25" s="469">
        <f t="shared" si="4"/>
        <v>498.64934016413457</v>
      </c>
      <c r="P25" s="456">
        <f t="shared" si="5"/>
        <v>331.98521951381457</v>
      </c>
      <c r="R25" s="464">
        <f>T6_FG_py_Utlsn!C25+T6_FG_py_Utlsn!H25+'T6A_FG_Upy_Utlsn '!C25+'T6A_FG_Upy_Utlsn '!H25</f>
        <v>4383.2404000000006</v>
      </c>
      <c r="S25" s="707">
        <f t="shared" si="6"/>
        <v>32.874303000000005</v>
      </c>
    </row>
    <row r="26" spans="1:19" ht="18.75">
      <c r="A26" s="445">
        <v>15</v>
      </c>
      <c r="B26" s="415" t="s">
        <v>903</v>
      </c>
      <c r="C26" s="705">
        <v>21.949806000000002</v>
      </c>
      <c r="D26" s="445">
        <v>8.5599999999999969</v>
      </c>
      <c r="E26" s="429">
        <v>13.795346226725988</v>
      </c>
      <c r="F26" s="446">
        <v>0</v>
      </c>
      <c r="G26" s="446">
        <v>75</v>
      </c>
      <c r="H26" s="467">
        <v>12.381846267918935</v>
      </c>
      <c r="I26" s="429">
        <f t="shared" si="0"/>
        <v>9.9734999588070501</v>
      </c>
      <c r="J26" s="15">
        <v>89108</v>
      </c>
      <c r="K26" s="15">
        <v>54752</v>
      </c>
      <c r="L26" s="447">
        <f t="shared" si="1"/>
        <v>143860</v>
      </c>
      <c r="M26" s="456">
        <f t="shared" si="2"/>
        <v>22.295576110241953</v>
      </c>
      <c r="N26" s="456">
        <f t="shared" si="3"/>
        <v>266.82042026090818</v>
      </c>
      <c r="O26" s="469">
        <f t="shared" si="4"/>
        <v>335.29813165944864</v>
      </c>
      <c r="P26" s="456">
        <f t="shared" si="5"/>
        <v>223.23106615340956</v>
      </c>
      <c r="R26" s="464">
        <f>T6_FG_py_Utlsn!C26+T6_FG_py_Utlsn!H26+'T6A_FG_Upy_Utlsn '!C26+'T6A_FG_Upy_Utlsn '!H26</f>
        <v>2926.6408000000001</v>
      </c>
      <c r="S26" s="707">
        <f t="shared" si="6"/>
        <v>21.949806000000002</v>
      </c>
    </row>
    <row r="27" spans="1:19" s="447" customFormat="1" ht="18.75">
      <c r="A27" s="445">
        <v>16</v>
      </c>
      <c r="B27" s="415" t="s">
        <v>904</v>
      </c>
      <c r="C27" s="705">
        <v>19.702133999999997</v>
      </c>
      <c r="D27" s="445">
        <v>5.370000000000001</v>
      </c>
      <c r="E27" s="429">
        <v>11.815744974460374</v>
      </c>
      <c r="F27" s="446">
        <v>0</v>
      </c>
      <c r="G27" s="446">
        <v>75</v>
      </c>
      <c r="H27" s="467">
        <v>10.605079090459716</v>
      </c>
      <c r="I27" s="429">
        <f t="shared" si="0"/>
        <v>6.5806658840006609</v>
      </c>
      <c r="J27" s="447">
        <v>75018</v>
      </c>
      <c r="K27" s="447">
        <v>48198</v>
      </c>
      <c r="L27" s="447">
        <f t="shared" si="1"/>
        <v>123216</v>
      </c>
      <c r="M27" s="456">
        <f t="shared" si="2"/>
        <v>19.096146990126321</v>
      </c>
      <c r="N27" s="456">
        <f t="shared" si="3"/>
        <v>228.53152302841696</v>
      </c>
      <c r="O27" s="469">
        <f t="shared" si="4"/>
        <v>287.18264000104705</v>
      </c>
      <c r="P27" s="456">
        <f t="shared" si="5"/>
        <v>191.19726850520306</v>
      </c>
      <c r="R27" s="464">
        <f>T6_FG_py_Utlsn!C27+T6_FG_py_Utlsn!H27+'T6A_FG_Upy_Utlsn '!C27+'T6A_FG_Upy_Utlsn '!H27</f>
        <v>2626.9512</v>
      </c>
      <c r="S27" s="707">
        <f t="shared" si="6"/>
        <v>19.702133999999997</v>
      </c>
    </row>
    <row r="28" spans="1:19" s="447" customFormat="1" ht="18.75">
      <c r="A28" s="445">
        <v>17</v>
      </c>
      <c r="B28" s="415" t="s">
        <v>905</v>
      </c>
      <c r="C28" s="705">
        <v>49.056266999999991</v>
      </c>
      <c r="D28" s="445">
        <v>8.1700000000000017</v>
      </c>
      <c r="E28" s="429">
        <v>30.21366411270391</v>
      </c>
      <c r="F28" s="446">
        <v>0</v>
      </c>
      <c r="G28" s="446">
        <v>75</v>
      </c>
      <c r="H28" s="467">
        <v>27.117909045971334</v>
      </c>
      <c r="I28" s="429">
        <f t="shared" si="0"/>
        <v>11.265755066732577</v>
      </c>
      <c r="J28" s="447">
        <v>206804</v>
      </c>
      <c r="K28" s="447">
        <v>108310</v>
      </c>
      <c r="L28" s="447">
        <f t="shared" si="1"/>
        <v>315114</v>
      </c>
      <c r="M28" s="456">
        <f t="shared" si="2"/>
        <v>48.836703534010724</v>
      </c>
      <c r="N28" s="456">
        <f t="shared" si="3"/>
        <v>584.44911657233297</v>
      </c>
      <c r="O28" s="469">
        <f t="shared" si="4"/>
        <v>734.44415028316075</v>
      </c>
      <c r="P28" s="456">
        <f t="shared" si="5"/>
        <v>488.97006937206658</v>
      </c>
      <c r="R28" s="464">
        <f>T6_FG_py_Utlsn!C28+T6_FG_py_Utlsn!H28+'T6A_FG_Upy_Utlsn '!C28+'T6A_FG_Upy_Utlsn '!H28</f>
        <v>6540.8355999999994</v>
      </c>
      <c r="S28" s="707">
        <f t="shared" si="6"/>
        <v>49.056266999999991</v>
      </c>
    </row>
    <row r="29" spans="1:19" s="447" customFormat="1" ht="18.75">
      <c r="A29" s="445">
        <v>18</v>
      </c>
      <c r="B29" s="415" t="s">
        <v>906</v>
      </c>
      <c r="C29" s="705">
        <v>17.299206000000002</v>
      </c>
      <c r="D29" s="445">
        <v>2.7799999999999994</v>
      </c>
      <c r="E29" s="429">
        <v>9.2175183308617576</v>
      </c>
      <c r="F29" s="446">
        <v>0</v>
      </c>
      <c r="G29" s="446">
        <v>75</v>
      </c>
      <c r="H29" s="467">
        <v>8.2730721700444896</v>
      </c>
      <c r="I29" s="429">
        <f t="shared" si="0"/>
        <v>3.7244461608172674</v>
      </c>
      <c r="J29" s="447">
        <v>69134</v>
      </c>
      <c r="K29" s="447">
        <v>26988</v>
      </c>
      <c r="L29" s="447">
        <f t="shared" si="1"/>
        <v>96122</v>
      </c>
      <c r="M29" s="456">
        <f t="shared" si="2"/>
        <v>14.897089996306667</v>
      </c>
      <c r="N29" s="456">
        <f t="shared" si="3"/>
        <v>178.27966381425702</v>
      </c>
      <c r="O29" s="469">
        <f t="shared" si="4"/>
        <v>224.03397060593301</v>
      </c>
      <c r="P29" s="456">
        <f t="shared" si="5"/>
        <v>149.15484874737962</v>
      </c>
      <c r="R29" s="464">
        <f>T6_FG_py_Utlsn!C29+T6_FG_py_Utlsn!H29+'T6A_FG_Upy_Utlsn '!C29+'T6A_FG_Upy_Utlsn '!H29</f>
        <v>2306.5608000000002</v>
      </c>
      <c r="S29" s="707">
        <f t="shared" si="6"/>
        <v>17.299206000000002</v>
      </c>
    </row>
    <row r="30" spans="1:19" s="447" customFormat="1" ht="18.75">
      <c r="A30" s="445">
        <v>19</v>
      </c>
      <c r="B30" s="415" t="s">
        <v>907</v>
      </c>
      <c r="C30" s="705">
        <v>30.901269000000003</v>
      </c>
      <c r="D30" s="445">
        <v>8.3199999999999967</v>
      </c>
      <c r="E30" s="429">
        <v>19.616611159169555</v>
      </c>
      <c r="F30" s="446">
        <v>0</v>
      </c>
      <c r="G30" s="446">
        <v>75</v>
      </c>
      <c r="H30" s="467">
        <v>17.606652249134953</v>
      </c>
      <c r="I30" s="429">
        <f t="shared" si="0"/>
        <v>10.329958910034598</v>
      </c>
      <c r="J30" s="447">
        <v>137515</v>
      </c>
      <c r="K30" s="447">
        <v>67074</v>
      </c>
      <c r="L30" s="447">
        <f t="shared" si="1"/>
        <v>204589</v>
      </c>
      <c r="M30" s="456">
        <f t="shared" si="2"/>
        <v>31.707421248563126</v>
      </c>
      <c r="N30" s="456">
        <f t="shared" si="3"/>
        <v>379.45588044459157</v>
      </c>
      <c r="O30" s="469">
        <f t="shared" si="4"/>
        <v>476.8407441823644</v>
      </c>
      <c r="P30" s="456">
        <f t="shared" si="5"/>
        <v>317.46573469525862</v>
      </c>
      <c r="R30" s="464">
        <f>T6_FG_py_Utlsn!C30+T6_FG_py_Utlsn!H30+'T6A_FG_Upy_Utlsn '!C30+'T6A_FG_Upy_Utlsn '!H30</f>
        <v>4120.1692000000003</v>
      </c>
      <c r="S30" s="707">
        <f t="shared" si="6"/>
        <v>30.901269000000003</v>
      </c>
    </row>
    <row r="31" spans="1:19" s="447" customFormat="1" ht="18.75">
      <c r="A31" s="445">
        <v>20</v>
      </c>
      <c r="B31" s="415" t="s">
        <v>908</v>
      </c>
      <c r="C31" s="705">
        <v>23.563253999999993</v>
      </c>
      <c r="D31" s="445">
        <v>7.7700000000000014</v>
      </c>
      <c r="E31" s="429">
        <v>15.007851993738674</v>
      </c>
      <c r="F31" s="446">
        <v>0</v>
      </c>
      <c r="G31" s="446">
        <v>75</v>
      </c>
      <c r="H31" s="467">
        <v>13.470116164112708</v>
      </c>
      <c r="I31" s="429">
        <f t="shared" si="0"/>
        <v>9.3077358296259671</v>
      </c>
      <c r="J31" s="447">
        <v>103148</v>
      </c>
      <c r="K31" s="447">
        <v>53364</v>
      </c>
      <c r="L31" s="447">
        <f t="shared" si="1"/>
        <v>156512</v>
      </c>
      <c r="M31" s="456">
        <f t="shared" si="2"/>
        <v>24.256396553358744</v>
      </c>
      <c r="N31" s="456">
        <f t="shared" si="3"/>
        <v>290.28637297285735</v>
      </c>
      <c r="O31" s="469">
        <f t="shared" si="4"/>
        <v>364.78646727570992</v>
      </c>
      <c r="P31" s="456">
        <f t="shared" si="5"/>
        <v>242.86348273183955</v>
      </c>
      <c r="R31" s="464">
        <f>T6_FG_py_Utlsn!C31+T6_FG_py_Utlsn!H31+'T6A_FG_Upy_Utlsn '!C31+'T6A_FG_Upy_Utlsn '!H31</f>
        <v>3141.7671999999993</v>
      </c>
      <c r="S31" s="707">
        <f t="shared" si="6"/>
        <v>23.563253999999993</v>
      </c>
    </row>
    <row r="32" spans="1:19" s="447" customFormat="1" ht="18.75">
      <c r="A32" s="445">
        <v>21</v>
      </c>
      <c r="B32" s="415" t="s">
        <v>909</v>
      </c>
      <c r="C32" s="705">
        <v>16.864559999999997</v>
      </c>
      <c r="D32" s="445">
        <v>4.1400000000000006</v>
      </c>
      <c r="E32" s="429">
        <v>9.7866536908881212</v>
      </c>
      <c r="F32" s="446">
        <v>0</v>
      </c>
      <c r="G32" s="446">
        <v>75</v>
      </c>
      <c r="H32" s="467">
        <v>8.7838927335640165</v>
      </c>
      <c r="I32" s="429">
        <f t="shared" si="0"/>
        <v>5.1427609573241053</v>
      </c>
      <c r="J32" s="447">
        <v>63019</v>
      </c>
      <c r="K32" s="447">
        <v>39086</v>
      </c>
      <c r="L32" s="447">
        <f t="shared" si="1"/>
        <v>102105</v>
      </c>
      <c r="M32" s="456">
        <f t="shared" si="2"/>
        <v>15.824341712333204</v>
      </c>
      <c r="N32" s="456">
        <f t="shared" si="3"/>
        <v>189.37647025399716</v>
      </c>
      <c r="O32" s="469">
        <f t="shared" si="4"/>
        <v>237.9786996600028</v>
      </c>
      <c r="P32" s="456">
        <f t="shared" si="5"/>
        <v>158.43881558177313</v>
      </c>
      <c r="R32" s="464">
        <f>T6_FG_py_Utlsn!C32+T6_FG_py_Utlsn!H32+'T6A_FG_Upy_Utlsn '!C32+'T6A_FG_Upy_Utlsn '!H32</f>
        <v>2248.6079999999997</v>
      </c>
      <c r="S32" s="707">
        <f t="shared" si="6"/>
        <v>16.864559999999997</v>
      </c>
    </row>
    <row r="33" spans="1:19" s="447" customFormat="1" ht="18.75">
      <c r="A33" s="445">
        <v>22</v>
      </c>
      <c r="B33" s="415" t="s">
        <v>910</v>
      </c>
      <c r="C33" s="705">
        <v>47.013726000000005</v>
      </c>
      <c r="D33" s="445">
        <v>21.070000000000004</v>
      </c>
      <c r="E33" s="429">
        <v>29.731136307464169</v>
      </c>
      <c r="F33" s="446">
        <v>0</v>
      </c>
      <c r="G33" s="446">
        <v>75</v>
      </c>
      <c r="H33" s="467">
        <v>26.684822046465651</v>
      </c>
      <c r="I33" s="429">
        <f t="shared" si="0"/>
        <v>24.116314260998525</v>
      </c>
      <c r="J33" s="447">
        <v>209906</v>
      </c>
      <c r="K33" s="447">
        <v>100202</v>
      </c>
      <c r="L33" s="447">
        <f t="shared" si="1"/>
        <v>310108</v>
      </c>
      <c r="M33" s="456">
        <f t="shared" si="2"/>
        <v>48.060868319163852</v>
      </c>
      <c r="N33" s="456">
        <f t="shared" si="3"/>
        <v>575.16437429632776</v>
      </c>
      <c r="O33" s="469">
        <f t="shared" si="4"/>
        <v>722.77653977928753</v>
      </c>
      <c r="P33" s="456">
        <f t="shared" si="5"/>
        <v>481.2021372355174</v>
      </c>
      <c r="R33" s="464">
        <f>T6_FG_py_Utlsn!C33+T6_FG_py_Utlsn!H33+'T6A_FG_Upy_Utlsn '!C33+'T6A_FG_Upy_Utlsn '!H33</f>
        <v>6268.4968000000008</v>
      </c>
      <c r="S33" s="707">
        <f t="shared" si="6"/>
        <v>47.013726000000005</v>
      </c>
    </row>
    <row r="34" spans="1:19" s="447" customFormat="1" ht="18.75">
      <c r="A34" s="445">
        <v>23</v>
      </c>
      <c r="B34" s="415" t="s">
        <v>911</v>
      </c>
      <c r="C34" s="705">
        <v>19.670961000000002</v>
      </c>
      <c r="D34" s="445">
        <v>9.91</v>
      </c>
      <c r="E34" s="429">
        <v>13.046809503213051</v>
      </c>
      <c r="F34" s="446">
        <v>0</v>
      </c>
      <c r="G34" s="446">
        <v>75</v>
      </c>
      <c r="H34" s="467">
        <v>11.710006178942168</v>
      </c>
      <c r="I34" s="429">
        <f t="shared" si="0"/>
        <v>11.246803324270884</v>
      </c>
      <c r="J34" s="447">
        <v>91073</v>
      </c>
      <c r="K34" s="447">
        <v>45030</v>
      </c>
      <c r="L34" s="447">
        <f t="shared" si="1"/>
        <v>136103</v>
      </c>
      <c r="M34" s="456">
        <f t="shared" si="2"/>
        <v>21.093387983680387</v>
      </c>
      <c r="N34" s="456">
        <f t="shared" si="3"/>
        <v>252.4333355955122</v>
      </c>
      <c r="O34" s="469">
        <f t="shared" si="4"/>
        <v>317.21869604647532</v>
      </c>
      <c r="P34" s="456">
        <f t="shared" si="5"/>
        <v>211.19434030778189</v>
      </c>
      <c r="R34" s="464">
        <f>T6_FG_py_Utlsn!C34+T6_FG_py_Utlsn!H34+'T6A_FG_Upy_Utlsn '!C34+'T6A_FG_Upy_Utlsn '!H34</f>
        <v>2622.7948000000001</v>
      </c>
      <c r="S34" s="707">
        <f t="shared" si="6"/>
        <v>19.670961000000002</v>
      </c>
    </row>
    <row r="35" spans="1:19" s="447" customFormat="1" ht="18.75">
      <c r="A35" s="445">
        <v>24</v>
      </c>
      <c r="B35" s="415" t="s">
        <v>912</v>
      </c>
      <c r="C35" s="705">
        <v>15.832085999999999</v>
      </c>
      <c r="D35" s="445">
        <v>0.6899999999999995</v>
      </c>
      <c r="E35" s="429">
        <v>10.590866699621026</v>
      </c>
      <c r="F35" s="446">
        <v>0</v>
      </c>
      <c r="G35" s="446">
        <v>75</v>
      </c>
      <c r="H35" s="467">
        <v>9.5057043994068238</v>
      </c>
      <c r="I35" s="429">
        <f t="shared" si="0"/>
        <v>1.7751623002142018</v>
      </c>
      <c r="J35" s="447">
        <v>71506</v>
      </c>
      <c r="K35" s="447">
        <v>38969</v>
      </c>
      <c r="L35" s="447">
        <f t="shared" si="1"/>
        <v>110475</v>
      </c>
      <c r="M35" s="456">
        <f t="shared" si="2"/>
        <v>17.121533232163074</v>
      </c>
      <c r="N35" s="456">
        <f t="shared" si="3"/>
        <v>204.9004999883486</v>
      </c>
      <c r="O35" s="469">
        <f t="shared" si="4"/>
        <v>257.48686983927144</v>
      </c>
      <c r="P35" s="456">
        <f t="shared" si="5"/>
        <v>171.42674845890394</v>
      </c>
      <c r="R35" s="464">
        <f>T6_FG_py_Utlsn!C35+T6_FG_py_Utlsn!H35+'T6A_FG_Upy_Utlsn '!C35+'T6A_FG_Upy_Utlsn '!H35</f>
        <v>2110.9447999999998</v>
      </c>
      <c r="S35" s="707">
        <f t="shared" si="6"/>
        <v>15.832085999999999</v>
      </c>
    </row>
    <row r="36" spans="1:19" s="447" customFormat="1" ht="18.75">
      <c r="A36" s="445">
        <v>25</v>
      </c>
      <c r="B36" s="415" t="s">
        <v>913</v>
      </c>
      <c r="C36" s="705">
        <v>41.699435999999999</v>
      </c>
      <c r="D36" s="445">
        <v>3.5300000000000011</v>
      </c>
      <c r="E36" s="429">
        <v>26.514284272532546</v>
      </c>
      <c r="F36" s="446">
        <v>0</v>
      </c>
      <c r="G36" s="446">
        <v>75</v>
      </c>
      <c r="H36" s="467">
        <v>23.797575383094419</v>
      </c>
      <c r="I36" s="429">
        <f t="shared" si="0"/>
        <v>6.2467088894381284</v>
      </c>
      <c r="J36" s="447">
        <v>174852</v>
      </c>
      <c r="K36" s="447">
        <v>101729</v>
      </c>
      <c r="L36" s="447">
        <f t="shared" si="1"/>
        <v>276581</v>
      </c>
      <c r="M36" s="456">
        <f t="shared" si="2"/>
        <v>42.86481812975692</v>
      </c>
      <c r="N36" s="456">
        <f t="shared" si="3"/>
        <v>512.98108338789268</v>
      </c>
      <c r="O36" s="469">
        <f t="shared" si="4"/>
        <v>644.63431497637964</v>
      </c>
      <c r="P36" s="456">
        <f t="shared" si="5"/>
        <v>429.17747468216442</v>
      </c>
      <c r="R36" s="464">
        <f>T6_FG_py_Utlsn!C36+T6_FG_py_Utlsn!H36+'T6A_FG_Upy_Utlsn '!C36+'T6A_FG_Upy_Utlsn '!H36</f>
        <v>5559.9247999999998</v>
      </c>
      <c r="S36" s="707">
        <f t="shared" si="6"/>
        <v>41.699435999999999</v>
      </c>
    </row>
    <row r="37" spans="1:19" s="447" customFormat="1" ht="18.75">
      <c r="A37" s="445">
        <v>26</v>
      </c>
      <c r="B37" s="415" t="s">
        <v>914</v>
      </c>
      <c r="C37" s="705">
        <v>30.305840999999997</v>
      </c>
      <c r="D37" s="445">
        <v>4.5300000000000011</v>
      </c>
      <c r="E37" s="429">
        <v>18.181400251276983</v>
      </c>
      <c r="F37" s="446">
        <v>0</v>
      </c>
      <c r="G37" s="446">
        <v>75</v>
      </c>
      <c r="H37" s="467">
        <v>16.318496045477016</v>
      </c>
      <c r="I37" s="429">
        <f t="shared" si="0"/>
        <v>6.3929042057999688</v>
      </c>
      <c r="J37" s="447">
        <v>111890</v>
      </c>
      <c r="K37" s="447">
        <v>77737</v>
      </c>
      <c r="L37" s="447">
        <f t="shared" si="1"/>
        <v>189627</v>
      </c>
      <c r="M37" s="456">
        <f t="shared" si="2"/>
        <v>29.388594543701174</v>
      </c>
      <c r="N37" s="456">
        <f t="shared" si="3"/>
        <v>351.70551809269591</v>
      </c>
      <c r="O37" s="469">
        <f t="shared" si="4"/>
        <v>441.96843328365264</v>
      </c>
      <c r="P37" s="456">
        <f t="shared" si="5"/>
        <v>294.24883484966352</v>
      </c>
      <c r="R37" s="464">
        <f>T6_FG_py_Utlsn!C37+T6_FG_py_Utlsn!H37+'T6A_FG_Upy_Utlsn '!C37+'T6A_FG_Upy_Utlsn '!H37</f>
        <v>4040.7787999999996</v>
      </c>
      <c r="S37" s="707">
        <f t="shared" si="6"/>
        <v>30.305840999999997</v>
      </c>
    </row>
    <row r="38" spans="1:19" s="447" customFormat="1" ht="18.75">
      <c r="A38" s="445">
        <v>27</v>
      </c>
      <c r="B38" s="415" t="s">
        <v>915</v>
      </c>
      <c r="C38" s="705">
        <v>18.688991999999999</v>
      </c>
      <c r="D38" s="445">
        <v>8.5</v>
      </c>
      <c r="E38" s="429">
        <v>12.366321572746747</v>
      </c>
      <c r="F38" s="446">
        <v>0</v>
      </c>
      <c r="G38" s="446">
        <v>75</v>
      </c>
      <c r="H38" s="467">
        <v>11.09924246169056</v>
      </c>
      <c r="I38" s="429">
        <f t="shared" si="0"/>
        <v>9.767079111056189</v>
      </c>
      <c r="J38" s="447">
        <v>85143</v>
      </c>
      <c r="K38" s="447">
        <v>43846</v>
      </c>
      <c r="L38" s="447">
        <f t="shared" si="1"/>
        <v>128989</v>
      </c>
      <c r="M38" s="456">
        <f t="shared" si="2"/>
        <v>19.990852682357843</v>
      </c>
      <c r="N38" s="456">
        <f t="shared" si="3"/>
        <v>239.23883768270738</v>
      </c>
      <c r="O38" s="469">
        <f t="shared" si="4"/>
        <v>300.63791675671223</v>
      </c>
      <c r="P38" s="456">
        <f t="shared" si="5"/>
        <v>200.15537322439974</v>
      </c>
      <c r="R38" s="464">
        <f>T6_FG_py_Utlsn!C38+T6_FG_py_Utlsn!H38+'T6A_FG_Upy_Utlsn '!C38+'T6A_FG_Upy_Utlsn '!H38</f>
        <v>2491.8656000000001</v>
      </c>
      <c r="S38" s="707">
        <f t="shared" si="6"/>
        <v>18.688991999999999</v>
      </c>
    </row>
    <row r="39" spans="1:19" s="447" customFormat="1" ht="18.75">
      <c r="A39" s="445">
        <v>28</v>
      </c>
      <c r="B39" s="415" t="s">
        <v>916</v>
      </c>
      <c r="C39" s="705">
        <v>21.631157999999999</v>
      </c>
      <c r="D39" s="445">
        <v>9.51</v>
      </c>
      <c r="E39" s="429">
        <v>15.125390818091944</v>
      </c>
      <c r="F39" s="446">
        <v>0</v>
      </c>
      <c r="G39" s="446">
        <v>75</v>
      </c>
      <c r="H39" s="467">
        <v>13.575611715274347</v>
      </c>
      <c r="I39" s="429">
        <f t="shared" si="0"/>
        <v>11.059779102817595</v>
      </c>
      <c r="J39" s="447">
        <v>99449</v>
      </c>
      <c r="K39" s="447">
        <v>58288</v>
      </c>
      <c r="L39" s="447">
        <f t="shared" si="1"/>
        <v>157737</v>
      </c>
      <c r="M39" s="456">
        <f t="shared" si="2"/>
        <v>24.44624835882966</v>
      </c>
      <c r="N39" s="456">
        <f t="shared" si="3"/>
        <v>292.55840838798048</v>
      </c>
      <c r="O39" s="469">
        <f t="shared" si="4"/>
        <v>367.64160568307</v>
      </c>
      <c r="P39" s="456">
        <f t="shared" si="5"/>
        <v>244.76434507048771</v>
      </c>
      <c r="R39" s="464">
        <f>T6_FG_py_Utlsn!C39+T6_FG_py_Utlsn!H39+'T6A_FG_Upy_Utlsn '!C39+'T6A_FG_Upy_Utlsn '!H39</f>
        <v>2884.1543999999999</v>
      </c>
      <c r="S39" s="707">
        <f t="shared" si="6"/>
        <v>21.631157999999999</v>
      </c>
    </row>
    <row r="40" spans="1:19" s="447" customFormat="1" ht="18.75">
      <c r="A40" s="445">
        <v>29</v>
      </c>
      <c r="B40" s="415" t="s">
        <v>917</v>
      </c>
      <c r="C40" s="705">
        <v>19.880882999999997</v>
      </c>
      <c r="D40" s="445">
        <v>3.8499999999999996</v>
      </c>
      <c r="E40" s="429">
        <v>10.869248125720878</v>
      </c>
      <c r="F40" s="446">
        <v>0</v>
      </c>
      <c r="G40" s="446">
        <v>75</v>
      </c>
      <c r="H40" s="467">
        <v>9.7555622837370279</v>
      </c>
      <c r="I40" s="429">
        <f t="shared" si="0"/>
        <v>4.9636858419838497</v>
      </c>
      <c r="J40" s="447">
        <v>77104</v>
      </c>
      <c r="K40" s="447">
        <v>36263</v>
      </c>
      <c r="L40" s="447">
        <f t="shared" si="1"/>
        <v>113367</v>
      </c>
      <c r="M40" s="456">
        <f t="shared" si="2"/>
        <v>17.569738474140134</v>
      </c>
      <c r="N40" s="456">
        <f t="shared" si="3"/>
        <v>210.26435829082703</v>
      </c>
      <c r="O40" s="469">
        <f t="shared" si="4"/>
        <v>264.2273272058718</v>
      </c>
      <c r="P40" s="456">
        <f t="shared" si="5"/>
        <v>175.91433530247173</v>
      </c>
      <c r="R40" s="464">
        <f>T6_FG_py_Utlsn!C40+T6_FG_py_Utlsn!H40+'T6A_FG_Upy_Utlsn '!C40+'T6A_FG_Upy_Utlsn '!H40</f>
        <v>2650.7843999999996</v>
      </c>
      <c r="S40" s="707">
        <f t="shared" si="6"/>
        <v>19.880882999999997</v>
      </c>
    </row>
    <row r="41" spans="1:19" s="447" customFormat="1" ht="18.75">
      <c r="A41" s="445">
        <v>30</v>
      </c>
      <c r="B41" s="415" t="s">
        <v>918</v>
      </c>
      <c r="C41" s="705">
        <v>25.353452999999998</v>
      </c>
      <c r="D41" s="445">
        <v>11.76</v>
      </c>
      <c r="E41" s="429">
        <v>15.607918623331688</v>
      </c>
      <c r="F41" s="446">
        <v>0</v>
      </c>
      <c r="G41" s="446">
        <v>75</v>
      </c>
      <c r="H41" s="467">
        <v>14.008698714780033</v>
      </c>
      <c r="I41" s="429">
        <f t="shared" si="0"/>
        <v>13.359219908551657</v>
      </c>
      <c r="J41" s="447">
        <v>101852</v>
      </c>
      <c r="K41" s="447">
        <v>60942</v>
      </c>
      <c r="L41" s="447">
        <f t="shared" si="1"/>
        <v>162794</v>
      </c>
      <c r="M41" s="456">
        <f t="shared" si="2"/>
        <v>25.229987608026754</v>
      </c>
      <c r="N41" s="456">
        <f t="shared" si="3"/>
        <v>301.93774152616629</v>
      </c>
      <c r="O41" s="469">
        <f t="shared" si="4"/>
        <v>379.42808317369861</v>
      </c>
      <c r="P41" s="456">
        <f t="shared" si="5"/>
        <v>252.61141514929901</v>
      </c>
      <c r="R41" s="464">
        <f>T6_FG_py_Utlsn!C41+T6_FG_py_Utlsn!H41+'T6A_FG_Upy_Utlsn '!C41+'T6A_FG_Upy_Utlsn '!H41</f>
        <v>3380.4603999999999</v>
      </c>
      <c r="S41" s="707">
        <f t="shared" si="6"/>
        <v>25.353452999999998</v>
      </c>
    </row>
    <row r="42" spans="1:19" s="447" customFormat="1" ht="18.75">
      <c r="A42" s="445">
        <v>31</v>
      </c>
      <c r="B42" s="415" t="s">
        <v>919</v>
      </c>
      <c r="C42" s="705">
        <v>15.832085999999999</v>
      </c>
      <c r="D42" s="445">
        <v>7.1100000000000012</v>
      </c>
      <c r="E42" s="429">
        <v>11.061021997034109</v>
      </c>
      <c r="F42" s="446">
        <v>0</v>
      </c>
      <c r="G42" s="446">
        <v>75</v>
      </c>
      <c r="H42" s="467">
        <v>9.9276866040533864</v>
      </c>
      <c r="I42" s="429">
        <f t="shared" si="0"/>
        <v>8.2433353929807236</v>
      </c>
      <c r="J42" s="447">
        <v>77002</v>
      </c>
      <c r="K42" s="447">
        <v>38335</v>
      </c>
      <c r="L42" s="447">
        <f t="shared" si="1"/>
        <v>115337</v>
      </c>
      <c r="M42" s="456">
        <f t="shared" si="2"/>
        <v>17.87505117355051</v>
      </c>
      <c r="N42" s="456">
        <f t="shared" si="3"/>
        <v>213.91816218290259</v>
      </c>
      <c r="O42" s="469">
        <f t="shared" si="4"/>
        <v>268.81885590995296</v>
      </c>
      <c r="P42" s="456">
        <f t="shared" si="5"/>
        <v>178.97123228788959</v>
      </c>
      <c r="R42" s="464">
        <f>T6_FG_py_Utlsn!C42+T6_FG_py_Utlsn!H42+'T6A_FG_Upy_Utlsn '!C42+'T6A_FG_Upy_Utlsn '!H42</f>
        <v>2110.9447999999998</v>
      </c>
      <c r="S42" s="707">
        <f t="shared" si="6"/>
        <v>15.832085999999999</v>
      </c>
    </row>
    <row r="43" spans="1:19" s="447" customFormat="1" ht="18.75">
      <c r="A43" s="445">
        <v>32</v>
      </c>
      <c r="B43" s="415" t="s">
        <v>920</v>
      </c>
      <c r="C43" s="705">
        <v>16.824059999999999</v>
      </c>
      <c r="D43" s="445">
        <v>5.5400000000000009</v>
      </c>
      <c r="E43" s="429">
        <v>11.364148438787282</v>
      </c>
      <c r="F43" s="446">
        <v>0</v>
      </c>
      <c r="G43" s="446">
        <v>75</v>
      </c>
      <c r="H43" s="467">
        <v>10.199754078101831</v>
      </c>
      <c r="I43" s="429">
        <f t="shared" si="0"/>
        <v>6.7043943606854501</v>
      </c>
      <c r="J43" s="447">
        <v>77757</v>
      </c>
      <c r="K43" s="447">
        <v>40778</v>
      </c>
      <c r="L43" s="447">
        <f t="shared" si="1"/>
        <v>118535</v>
      </c>
      <c r="M43" s="456">
        <f t="shared" si="2"/>
        <v>18.370680621628875</v>
      </c>
      <c r="N43" s="456">
        <f t="shared" si="3"/>
        <v>219.84956565846483</v>
      </c>
      <c r="O43" s="469">
        <f t="shared" si="4"/>
        <v>276.27251519708568</v>
      </c>
      <c r="P43" s="456">
        <f t="shared" si="5"/>
        <v>183.93364678502991</v>
      </c>
      <c r="R43" s="464">
        <f>T6_FG_py_Utlsn!C43+T6_FG_py_Utlsn!H43+'T6A_FG_Upy_Utlsn '!C43+'T6A_FG_Upy_Utlsn '!H43</f>
        <v>2243.2080000000001</v>
      </c>
      <c r="S43" s="707">
        <f t="shared" si="6"/>
        <v>16.824059999999999</v>
      </c>
    </row>
    <row r="44" spans="1:19" s="447" customFormat="1" ht="18.75">
      <c r="A44" s="445">
        <v>33</v>
      </c>
      <c r="B44" s="415" t="s">
        <v>921</v>
      </c>
      <c r="C44" s="705">
        <v>57.874575</v>
      </c>
      <c r="D44" s="445">
        <v>29.480000000000004</v>
      </c>
      <c r="E44" s="429">
        <v>36.041115299060806</v>
      </c>
      <c r="F44" s="446">
        <v>0</v>
      </c>
      <c r="G44" s="446">
        <v>75</v>
      </c>
      <c r="H44" s="467">
        <v>32.348267424616907</v>
      </c>
      <c r="I44" s="429">
        <f t="shared" si="0"/>
        <v>33.172847874443903</v>
      </c>
      <c r="J44" s="447">
        <v>247364</v>
      </c>
      <c r="K44" s="447">
        <v>128529</v>
      </c>
      <c r="L44" s="447">
        <f t="shared" si="1"/>
        <v>375893</v>
      </c>
      <c r="M44" s="456">
        <f t="shared" si="2"/>
        <v>58.256297725616427</v>
      </c>
      <c r="N44" s="456">
        <f t="shared" si="3"/>
        <v>697.17731289540916</v>
      </c>
      <c r="O44" s="469">
        <f t="shared" si="4"/>
        <v>876.10329906760137</v>
      </c>
      <c r="P44" s="456">
        <f t="shared" si="5"/>
        <v>583.28232413181968</v>
      </c>
      <c r="R44" s="464">
        <f>T6_FG_py_Utlsn!C44+T6_FG_py_Utlsn!H44+'T6A_FG_Upy_Utlsn '!C44+'T6A_FG_Upy_Utlsn '!H44</f>
        <v>7716.6100000000006</v>
      </c>
      <c r="S44" s="707">
        <f t="shared" si="6"/>
        <v>57.874575</v>
      </c>
    </row>
    <row r="45" spans="1:19" s="447" customFormat="1" ht="18.75">
      <c r="A45" s="20"/>
      <c r="B45" s="417" t="s">
        <v>19</v>
      </c>
      <c r="C45" s="705">
        <f>SUM(C12:C44)</f>
        <v>971.01116400000001</v>
      </c>
      <c r="D45" s="475">
        <f t="shared" ref="D45:I45" si="7">SUM(D12:D44)</f>
        <v>334.68000000000012</v>
      </c>
      <c r="E45" s="475">
        <f t="shared" si="7"/>
        <v>600.71</v>
      </c>
      <c r="F45" s="475">
        <f t="shared" si="7"/>
        <v>0</v>
      </c>
      <c r="G45" s="475"/>
      <c r="H45" s="475">
        <f t="shared" si="7"/>
        <v>539.1600000000002</v>
      </c>
      <c r="I45" s="475">
        <f t="shared" si="7"/>
        <v>396.23000000000008</v>
      </c>
      <c r="J45" s="447">
        <v>4103422</v>
      </c>
      <c r="K45" s="447">
        <v>2161924</v>
      </c>
      <c r="L45" s="447">
        <f t="shared" si="1"/>
        <v>6265346</v>
      </c>
      <c r="M45" s="456"/>
    </row>
    <row r="46" spans="1:19">
      <c r="E46" s="31"/>
      <c r="F46" s="31"/>
      <c r="G46" s="31"/>
      <c r="H46" s="22"/>
      <c r="I46" s="22"/>
    </row>
    <row r="47" spans="1:19">
      <c r="E47" s="11"/>
      <c r="F47" s="11"/>
      <c r="G47" s="11"/>
      <c r="H47" s="31"/>
      <c r="I47" s="22"/>
    </row>
    <row r="48" spans="1:19">
      <c r="A48" s="36" t="s">
        <v>12</v>
      </c>
      <c r="E48" s="36"/>
      <c r="F48" s="36"/>
      <c r="G48" s="36"/>
      <c r="I48" s="866" t="s">
        <v>13</v>
      </c>
      <c r="J48" s="866"/>
    </row>
    <row r="49" spans="5:12">
      <c r="E49" s="871" t="s">
        <v>14</v>
      </c>
      <c r="F49" s="871"/>
      <c r="G49" s="871"/>
      <c r="H49" s="871"/>
      <c r="I49" s="871"/>
    </row>
    <row r="50" spans="5:12">
      <c r="E50" s="871" t="s">
        <v>20</v>
      </c>
      <c r="F50" s="871"/>
      <c r="G50" s="871"/>
      <c r="H50" s="871"/>
      <c r="I50" s="871"/>
    </row>
    <row r="51" spans="5:12">
      <c r="I51" s="850" t="s">
        <v>87</v>
      </c>
      <c r="J51" s="850"/>
      <c r="K51" s="850"/>
      <c r="L51" s="850"/>
    </row>
  </sheetData>
  <mergeCells count="8">
    <mergeCell ref="C3:F3"/>
    <mergeCell ref="I51:L51"/>
    <mergeCell ref="D9:I9"/>
    <mergeCell ref="E49:I49"/>
    <mergeCell ref="E50:I50"/>
    <mergeCell ref="A5:I5"/>
    <mergeCell ref="I48:J48"/>
    <mergeCell ref="J10:L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T32"/>
  <sheetViews>
    <sheetView view="pageBreakPreview" topLeftCell="A4" zoomScale="81" zoomScaleSheetLayoutView="81" workbookViewId="0">
      <selection activeCell="D17" sqref="D17:D24"/>
    </sheetView>
  </sheetViews>
  <sheetFormatPr defaultRowHeight="12.75"/>
  <cols>
    <col min="1" max="1" width="4.42578125" style="15" customWidth="1"/>
    <col min="2" max="2" width="37.28515625" style="15" customWidth="1"/>
    <col min="3" max="3" width="12.28515625" style="15" customWidth="1"/>
    <col min="4" max="5" width="15.140625" style="15" customWidth="1"/>
    <col min="6" max="6" width="15.85546875" style="15" customWidth="1"/>
    <col min="7" max="7" width="12.5703125" style="15" customWidth="1"/>
    <col min="8" max="8" width="23.7109375" style="15" customWidth="1"/>
    <col min="9" max="16384" width="9.140625" style="15"/>
  </cols>
  <sheetData>
    <row r="1" spans="1:20" customFormat="1" ht="15">
      <c r="D1" s="36"/>
      <c r="E1" s="36"/>
      <c r="F1" s="36"/>
      <c r="G1" s="15"/>
      <c r="H1" s="41" t="s">
        <v>70</v>
      </c>
      <c r="I1" s="36"/>
      <c r="J1" s="15"/>
      <c r="L1" s="15"/>
      <c r="M1" s="43"/>
      <c r="N1" s="43"/>
    </row>
    <row r="2" spans="1:20" customFormat="1" ht="15">
      <c r="A2" s="932" t="s">
        <v>0</v>
      </c>
      <c r="B2" s="932"/>
      <c r="C2" s="932"/>
      <c r="D2" s="932"/>
      <c r="E2" s="932"/>
      <c r="F2" s="932"/>
      <c r="G2" s="932"/>
      <c r="H2" s="932"/>
      <c r="I2" s="45"/>
      <c r="J2" s="45"/>
      <c r="K2" s="45"/>
      <c r="L2" s="45"/>
      <c r="M2" s="45"/>
      <c r="N2" s="45"/>
    </row>
    <row r="3" spans="1:20" customFormat="1" ht="20.25">
      <c r="A3" s="848" t="s">
        <v>705</v>
      </c>
      <c r="B3" s="848"/>
      <c r="C3" s="848"/>
      <c r="D3" s="848"/>
      <c r="E3" s="848"/>
      <c r="F3" s="848"/>
      <c r="G3" s="848"/>
      <c r="H3" s="848"/>
      <c r="I3" s="44"/>
      <c r="J3" s="44"/>
      <c r="K3" s="44"/>
      <c r="L3" s="44"/>
      <c r="M3" s="44"/>
      <c r="N3" s="44"/>
    </row>
    <row r="4" spans="1:20" customFormat="1" ht="10.5" customHeight="1"/>
    <row r="5" spans="1:20" ht="19.5" customHeight="1">
      <c r="A5" s="849" t="s">
        <v>767</v>
      </c>
      <c r="B5" s="932"/>
      <c r="C5" s="932"/>
      <c r="D5" s="932"/>
      <c r="E5" s="932"/>
      <c r="F5" s="932"/>
      <c r="G5" s="932"/>
      <c r="H5" s="932"/>
    </row>
    <row r="7" spans="1:20" s="13" customFormat="1" ht="15.75" hidden="1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20" s="13" customFormat="1" ht="15.75">
      <c r="A8" s="850" t="s">
        <v>922</v>
      </c>
      <c r="B8" s="850"/>
      <c r="C8" s="15"/>
      <c r="D8" s="15"/>
      <c r="E8" s="15"/>
      <c r="F8" s="15"/>
      <c r="G8" s="15"/>
      <c r="H8" s="33" t="s">
        <v>30</v>
      </c>
      <c r="I8" s="15"/>
    </row>
    <row r="9" spans="1:20" s="13" customFormat="1" ht="15.75">
      <c r="A9" s="14"/>
      <c r="B9" s="15"/>
      <c r="C9" s="15"/>
      <c r="D9" s="107"/>
      <c r="E9" s="107"/>
      <c r="G9" s="107" t="s">
        <v>781</v>
      </c>
      <c r="H9" s="107"/>
      <c r="J9" s="107"/>
      <c r="K9" s="107"/>
      <c r="L9" s="107"/>
      <c r="S9" s="133"/>
      <c r="T9" s="131"/>
    </row>
    <row r="10" spans="1:20" s="37" customFormat="1" ht="55.5" customHeight="1">
      <c r="A10" s="39"/>
      <c r="B10" s="5" t="s">
        <v>31</v>
      </c>
      <c r="C10" s="5" t="s">
        <v>768</v>
      </c>
      <c r="D10" s="5" t="s">
        <v>792</v>
      </c>
      <c r="E10" s="5" t="s">
        <v>228</v>
      </c>
      <c r="F10" s="5" t="s">
        <v>229</v>
      </c>
      <c r="G10" s="5" t="s">
        <v>76</v>
      </c>
      <c r="H10" s="5" t="s">
        <v>799</v>
      </c>
    </row>
    <row r="11" spans="1:20" s="37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20" ht="16.5" customHeight="1">
      <c r="A12" s="30" t="s">
        <v>32</v>
      </c>
      <c r="B12" s="30" t="s">
        <v>33</v>
      </c>
      <c r="C12" s="864">
        <v>150</v>
      </c>
      <c r="D12" s="864">
        <v>0</v>
      </c>
      <c r="E12" s="864">
        <v>150</v>
      </c>
      <c r="F12" s="864">
        <v>0</v>
      </c>
      <c r="G12" s="19"/>
      <c r="H12" s="996">
        <v>0</v>
      </c>
    </row>
    <row r="13" spans="1:20" ht="20.25" customHeight="1">
      <c r="A13" s="19"/>
      <c r="B13" s="19" t="s">
        <v>34</v>
      </c>
      <c r="C13" s="864"/>
      <c r="D13" s="864"/>
      <c r="E13" s="864"/>
      <c r="F13" s="864"/>
      <c r="G13" s="457">
        <v>135.06</v>
      </c>
      <c r="H13" s="997"/>
    </row>
    <row r="14" spans="1:20" ht="17.25" customHeight="1">
      <c r="A14" s="19"/>
      <c r="B14" s="19" t="s">
        <v>192</v>
      </c>
      <c r="C14" s="864"/>
      <c r="D14" s="864"/>
      <c r="E14" s="864"/>
      <c r="F14" s="864"/>
      <c r="G14" s="457">
        <v>0</v>
      </c>
      <c r="H14" s="997"/>
    </row>
    <row r="15" spans="1:20" s="37" customFormat="1" ht="33.75" customHeight="1">
      <c r="A15" s="38"/>
      <c r="B15" s="38" t="s">
        <v>193</v>
      </c>
      <c r="C15" s="864"/>
      <c r="D15" s="864"/>
      <c r="E15" s="864"/>
      <c r="F15" s="864"/>
      <c r="G15" s="38"/>
      <c r="H15" s="998"/>
    </row>
    <row r="16" spans="1:20" s="37" customFormat="1">
      <c r="A16" s="38"/>
      <c r="B16" s="39" t="s">
        <v>35</v>
      </c>
      <c r="C16" s="17">
        <v>150</v>
      </c>
      <c r="D16" s="17">
        <v>0</v>
      </c>
      <c r="E16" s="17">
        <v>150</v>
      </c>
      <c r="F16" s="17">
        <v>0</v>
      </c>
      <c r="G16" s="17">
        <v>135.06</v>
      </c>
      <c r="H16" s="462">
        <v>14.94</v>
      </c>
    </row>
    <row r="17" spans="1:10" s="37" customFormat="1" ht="40.5" customHeight="1">
      <c r="A17" s="39" t="s">
        <v>36</v>
      </c>
      <c r="B17" s="39" t="s">
        <v>227</v>
      </c>
      <c r="C17" s="995">
        <v>645.08000000000004</v>
      </c>
      <c r="D17" s="995">
        <v>0</v>
      </c>
      <c r="E17" s="995">
        <v>645.08000000000004</v>
      </c>
      <c r="F17" s="995">
        <v>0</v>
      </c>
      <c r="G17" s="38"/>
      <c r="H17" s="995"/>
    </row>
    <row r="18" spans="1:10" ht="28.5" customHeight="1">
      <c r="A18" s="19"/>
      <c r="B18" s="163" t="s">
        <v>195</v>
      </c>
      <c r="C18" s="995"/>
      <c r="D18" s="995"/>
      <c r="E18" s="995"/>
      <c r="F18" s="995"/>
      <c r="G18" s="19">
        <v>547.02</v>
      </c>
      <c r="H18" s="995"/>
    </row>
    <row r="19" spans="1:10" ht="19.5" customHeight="1">
      <c r="A19" s="19"/>
      <c r="B19" s="38" t="s">
        <v>37</v>
      </c>
      <c r="C19" s="995"/>
      <c r="D19" s="995"/>
      <c r="E19" s="995"/>
      <c r="F19" s="995"/>
      <c r="G19" s="19">
        <v>7.55</v>
      </c>
      <c r="H19" s="995"/>
    </row>
    <row r="20" spans="1:10" ht="21.75" customHeight="1">
      <c r="A20" s="19"/>
      <c r="B20" s="38" t="s">
        <v>196</v>
      </c>
      <c r="C20" s="995"/>
      <c r="D20" s="995"/>
      <c r="E20" s="995"/>
      <c r="F20" s="995"/>
      <c r="G20" s="19">
        <v>80.53</v>
      </c>
      <c r="H20" s="995"/>
    </row>
    <row r="21" spans="1:10" s="37" customFormat="1" ht="27.75" customHeight="1">
      <c r="A21" s="38"/>
      <c r="B21" s="38" t="s">
        <v>38</v>
      </c>
      <c r="C21" s="995"/>
      <c r="D21" s="995"/>
      <c r="E21" s="995"/>
      <c r="F21" s="995"/>
      <c r="G21" s="38"/>
      <c r="H21" s="995"/>
    </row>
    <row r="22" spans="1:10" s="37" customFormat="1" ht="19.5" customHeight="1">
      <c r="A22" s="38"/>
      <c r="B22" s="38" t="s">
        <v>194</v>
      </c>
      <c r="C22" s="995"/>
      <c r="D22" s="995"/>
      <c r="E22" s="995"/>
      <c r="F22" s="995"/>
      <c r="G22" s="38"/>
      <c r="H22" s="995"/>
    </row>
    <row r="23" spans="1:10" s="37" customFormat="1" ht="27.75" customHeight="1">
      <c r="A23" s="38"/>
      <c r="B23" s="38" t="s">
        <v>197</v>
      </c>
      <c r="C23" s="995"/>
      <c r="D23" s="995"/>
      <c r="E23" s="995"/>
      <c r="F23" s="995"/>
      <c r="G23" s="38"/>
      <c r="H23" s="995"/>
    </row>
    <row r="24" spans="1:10" s="37" customFormat="1" ht="18.75" customHeight="1">
      <c r="A24" s="39"/>
      <c r="B24" s="38" t="s">
        <v>198</v>
      </c>
      <c r="C24" s="995"/>
      <c r="D24" s="995"/>
      <c r="E24" s="995"/>
      <c r="F24" s="995"/>
      <c r="G24" s="38"/>
      <c r="H24" s="995"/>
    </row>
    <row r="25" spans="1:10" s="37" customFormat="1" ht="19.5" customHeight="1">
      <c r="A25" s="39"/>
      <c r="B25" s="39" t="s">
        <v>35</v>
      </c>
      <c r="C25" s="17">
        <v>795.08</v>
      </c>
      <c r="D25" s="17">
        <v>0</v>
      </c>
      <c r="E25" s="17">
        <v>645.08000000000004</v>
      </c>
      <c r="F25" s="17">
        <v>0</v>
      </c>
      <c r="G25" s="38">
        <v>635.1</v>
      </c>
      <c r="H25" s="38">
        <v>9.98</v>
      </c>
    </row>
    <row r="26" spans="1:10">
      <c r="A26" s="19"/>
      <c r="B26" s="30" t="s">
        <v>39</v>
      </c>
      <c r="C26" s="17">
        <v>795.08</v>
      </c>
      <c r="D26" s="17"/>
      <c r="E26" s="17">
        <v>795.08</v>
      </c>
      <c r="F26" s="17"/>
      <c r="G26" s="19">
        <v>770.16</v>
      </c>
      <c r="H26" s="19">
        <v>24.92</v>
      </c>
    </row>
    <row r="27" spans="1:10" s="37" customFormat="1" ht="15.75" customHeight="1"/>
    <row r="28" spans="1:10" s="37" customFormat="1" ht="15.75" customHeight="1"/>
    <row r="29" spans="1:10" ht="13.15" customHeight="1">
      <c r="B29" s="14" t="s">
        <v>12</v>
      </c>
      <c r="C29" s="14"/>
      <c r="D29" s="14"/>
      <c r="E29" s="14"/>
      <c r="F29" s="14"/>
      <c r="G29" s="866" t="s">
        <v>13</v>
      </c>
      <c r="H29" s="866"/>
    </row>
    <row r="30" spans="1:10" ht="13.9" customHeight="1">
      <c r="B30" s="871" t="s">
        <v>14</v>
      </c>
      <c r="C30" s="871"/>
      <c r="D30" s="871"/>
      <c r="E30" s="871"/>
      <c r="F30" s="871"/>
      <c r="G30" s="871"/>
      <c r="H30" s="871"/>
    </row>
    <row r="31" spans="1:10" ht="12.6" customHeight="1">
      <c r="B31" s="871" t="s">
        <v>20</v>
      </c>
      <c r="C31" s="871"/>
      <c r="D31" s="871"/>
      <c r="E31" s="871"/>
      <c r="F31" s="871"/>
      <c r="G31" s="871"/>
      <c r="H31" s="871"/>
    </row>
    <row r="32" spans="1:10">
      <c r="B32" s="14"/>
      <c r="C32" s="14"/>
      <c r="D32" s="14"/>
      <c r="E32" s="14"/>
      <c r="F32" s="14"/>
      <c r="G32" s="850" t="s">
        <v>87</v>
      </c>
      <c r="H32" s="850"/>
      <c r="I32" s="850"/>
      <c r="J32" s="850"/>
    </row>
  </sheetData>
  <mergeCells count="18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D17:D24"/>
    <mergeCell ref="E17:E24"/>
    <mergeCell ref="F17:F24"/>
    <mergeCell ref="G29:H29"/>
    <mergeCell ref="G32:J32"/>
    <mergeCell ref="B31:H31"/>
    <mergeCell ref="C17:C24"/>
    <mergeCell ref="H17:H24"/>
    <mergeCell ref="B30:H3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51"/>
  <sheetViews>
    <sheetView view="pageBreakPreview" topLeftCell="A16" zoomScaleSheetLayoutView="100" workbookViewId="0">
      <selection activeCell="E46" sqref="E46"/>
    </sheetView>
  </sheetViews>
  <sheetFormatPr defaultRowHeight="12.75"/>
  <cols>
    <col min="1" max="1" width="9.140625" style="15"/>
    <col min="2" max="2" width="19.28515625" style="15" customWidth="1"/>
    <col min="3" max="3" width="28.42578125" style="15" customWidth="1"/>
    <col min="4" max="4" width="27.7109375" style="15" customWidth="1"/>
    <col min="5" max="5" width="30.28515625" style="15" customWidth="1"/>
    <col min="6" max="16384" width="9.140625" style="15"/>
  </cols>
  <sheetData>
    <row r="1" spans="1:18" customFormat="1" ht="15">
      <c r="E1" s="41" t="s">
        <v>513</v>
      </c>
      <c r="F1" s="43"/>
    </row>
    <row r="2" spans="1:18" customFormat="1" ht="15">
      <c r="D2" s="45" t="s">
        <v>0</v>
      </c>
      <c r="E2" s="45"/>
      <c r="F2" s="45"/>
    </row>
    <row r="3" spans="1:18" customFormat="1" ht="20.25">
      <c r="B3" s="172"/>
      <c r="C3" s="848" t="s">
        <v>705</v>
      </c>
      <c r="D3" s="848"/>
      <c r="E3" s="848"/>
      <c r="F3" s="44"/>
    </row>
    <row r="4" spans="1:18" customFormat="1" ht="10.5" customHeight="1"/>
    <row r="5" spans="1:18" ht="30.75" customHeight="1">
      <c r="A5" s="992" t="s">
        <v>769</v>
      </c>
      <c r="B5" s="992"/>
      <c r="C5" s="992"/>
      <c r="D5" s="992"/>
      <c r="E5" s="992"/>
    </row>
    <row r="7" spans="1:18" ht="0.75" customHeight="1"/>
    <row r="8" spans="1:18">
      <c r="A8" s="14" t="s">
        <v>29</v>
      </c>
      <c r="B8" s="677" t="s">
        <v>1041</v>
      </c>
    </row>
    <row r="9" spans="1:18">
      <c r="D9" s="923" t="s">
        <v>785</v>
      </c>
      <c r="E9" s="923"/>
      <c r="Q9" s="19"/>
      <c r="R9" s="22"/>
    </row>
    <row r="10" spans="1:18" ht="26.25" customHeight="1">
      <c r="A10" s="844" t="s">
        <v>2</v>
      </c>
      <c r="B10" s="844" t="s">
        <v>3</v>
      </c>
      <c r="C10" s="999" t="s">
        <v>509</v>
      </c>
      <c r="D10" s="1000"/>
      <c r="E10" s="1001"/>
      <c r="Q10" s="22"/>
      <c r="R10" s="22"/>
    </row>
    <row r="11" spans="1:18" ht="56.25" customHeight="1">
      <c r="A11" s="844"/>
      <c r="B11" s="844"/>
      <c r="C11" s="5" t="s">
        <v>511</v>
      </c>
      <c r="D11" s="5" t="s">
        <v>512</v>
      </c>
      <c r="E11" s="5" t="s">
        <v>510</v>
      </c>
    </row>
    <row r="12" spans="1:18" s="122" customFormat="1" ht="15.75" customHeight="1">
      <c r="A12" s="68">
        <v>1</v>
      </c>
      <c r="B12" s="67">
        <v>2</v>
      </c>
      <c r="C12" s="68">
        <v>3</v>
      </c>
      <c r="D12" s="67">
        <v>4</v>
      </c>
      <c r="E12" s="68">
        <v>5</v>
      </c>
    </row>
    <row r="13" spans="1:18">
      <c r="A13" s="18">
        <v>1</v>
      </c>
      <c r="B13" s="19" t="s">
        <v>889</v>
      </c>
      <c r="C13" s="493">
        <v>2</v>
      </c>
      <c r="D13" s="493">
        <v>9</v>
      </c>
      <c r="E13" s="494">
        <v>1646</v>
      </c>
    </row>
    <row r="14" spans="1:18">
      <c r="A14" s="18">
        <v>2</v>
      </c>
      <c r="B14" s="19" t="s">
        <v>890</v>
      </c>
      <c r="C14" s="493">
        <v>0</v>
      </c>
      <c r="D14" s="493">
        <v>10</v>
      </c>
      <c r="E14" s="493">
        <v>1878</v>
      </c>
    </row>
    <row r="15" spans="1:18">
      <c r="A15" s="448">
        <v>3</v>
      </c>
      <c r="B15" s="19" t="s">
        <v>891</v>
      </c>
      <c r="C15" s="493">
        <v>0</v>
      </c>
      <c r="D15" s="493">
        <v>9</v>
      </c>
      <c r="E15" s="493">
        <v>939</v>
      </c>
    </row>
    <row r="16" spans="1:18">
      <c r="A16" s="448">
        <v>4</v>
      </c>
      <c r="B16" s="19" t="s">
        <v>892</v>
      </c>
      <c r="C16" s="493">
        <v>0</v>
      </c>
      <c r="D16" s="493">
        <v>9</v>
      </c>
      <c r="E16" s="493">
        <v>1228</v>
      </c>
    </row>
    <row r="17" spans="1:5" ht="15.75" customHeight="1">
      <c r="A17" s="448">
        <v>5</v>
      </c>
      <c r="B17" s="19" t="s">
        <v>893</v>
      </c>
      <c r="C17" s="508">
        <v>0</v>
      </c>
      <c r="D17" s="493">
        <v>10</v>
      </c>
      <c r="E17" s="493">
        <v>6709</v>
      </c>
    </row>
    <row r="18" spans="1:5" ht="12.75" customHeight="1">
      <c r="A18" s="448">
        <v>6</v>
      </c>
      <c r="B18" s="19" t="s">
        <v>894</v>
      </c>
      <c r="C18" s="493">
        <v>3</v>
      </c>
      <c r="D18" s="493">
        <v>8</v>
      </c>
      <c r="E18" s="493">
        <v>1414</v>
      </c>
    </row>
    <row r="19" spans="1:5" ht="12.75" customHeight="1">
      <c r="A19" s="448">
        <v>7</v>
      </c>
      <c r="B19" s="19" t="s">
        <v>895</v>
      </c>
      <c r="C19" s="493">
        <v>0</v>
      </c>
      <c r="D19" s="493">
        <v>9</v>
      </c>
      <c r="E19" s="493">
        <v>2519</v>
      </c>
    </row>
    <row r="20" spans="1:5">
      <c r="A20" s="448">
        <v>8</v>
      </c>
      <c r="B20" s="19" t="s">
        <v>896</v>
      </c>
      <c r="C20" s="493">
        <v>0</v>
      </c>
      <c r="D20" s="493">
        <v>7</v>
      </c>
      <c r="E20" s="494">
        <v>681</v>
      </c>
    </row>
    <row r="21" spans="1:5">
      <c r="A21" s="448">
        <v>9</v>
      </c>
      <c r="B21" s="19" t="s">
        <v>897</v>
      </c>
      <c r="C21" s="493">
        <v>0</v>
      </c>
      <c r="D21" s="493">
        <v>11</v>
      </c>
      <c r="E21" s="493">
        <v>1720</v>
      </c>
    </row>
    <row r="22" spans="1:5">
      <c r="A22" s="448">
        <v>10</v>
      </c>
      <c r="B22" s="19" t="s">
        <v>898</v>
      </c>
      <c r="C22" s="493">
        <v>0</v>
      </c>
      <c r="D22" s="493">
        <v>6</v>
      </c>
      <c r="E22" s="493">
        <v>3244</v>
      </c>
    </row>
    <row r="23" spans="1:5">
      <c r="A23" s="448">
        <v>11</v>
      </c>
      <c r="B23" s="19" t="s">
        <v>899</v>
      </c>
      <c r="C23" s="493">
        <v>0</v>
      </c>
      <c r="D23" s="493">
        <v>10</v>
      </c>
      <c r="E23" s="493">
        <v>539</v>
      </c>
    </row>
    <row r="24" spans="1:5">
      <c r="A24" s="448">
        <v>12</v>
      </c>
      <c r="B24" s="19" t="s">
        <v>900</v>
      </c>
      <c r="C24" s="493">
        <v>0</v>
      </c>
      <c r="D24" s="493">
        <v>9</v>
      </c>
      <c r="E24" s="493">
        <v>206</v>
      </c>
    </row>
    <row r="25" spans="1:5">
      <c r="A25" s="448">
        <v>13</v>
      </c>
      <c r="B25" s="19" t="s">
        <v>901</v>
      </c>
      <c r="C25" s="493">
        <v>2</v>
      </c>
      <c r="D25" s="493">
        <v>8</v>
      </c>
      <c r="E25" s="493">
        <v>933</v>
      </c>
    </row>
    <row r="26" spans="1:5">
      <c r="A26" s="448">
        <v>14</v>
      </c>
      <c r="B26" s="19" t="s">
        <v>902</v>
      </c>
      <c r="C26" s="493">
        <v>0</v>
      </c>
      <c r="D26" s="493">
        <v>9</v>
      </c>
      <c r="E26" s="493">
        <v>3765</v>
      </c>
    </row>
    <row r="27" spans="1:5">
      <c r="A27" s="448">
        <v>15</v>
      </c>
      <c r="B27" s="19" t="s">
        <v>903</v>
      </c>
      <c r="C27" s="493">
        <v>0</v>
      </c>
      <c r="D27" s="493">
        <v>8</v>
      </c>
      <c r="E27" s="493">
        <v>1225</v>
      </c>
    </row>
    <row r="28" spans="1:5" s="450" customFormat="1">
      <c r="A28" s="448">
        <v>16</v>
      </c>
      <c r="B28" s="19" t="s">
        <v>904</v>
      </c>
      <c r="C28" s="493">
        <v>0</v>
      </c>
      <c r="D28" s="493">
        <v>10</v>
      </c>
      <c r="E28" s="493">
        <v>2910</v>
      </c>
    </row>
    <row r="29" spans="1:5" s="450" customFormat="1">
      <c r="A29" s="448">
        <v>17</v>
      </c>
      <c r="B29" s="19" t="s">
        <v>905</v>
      </c>
      <c r="C29" s="493">
        <v>0</v>
      </c>
      <c r="D29" s="493">
        <v>7</v>
      </c>
      <c r="E29" s="493">
        <v>9280</v>
      </c>
    </row>
    <row r="30" spans="1:5" s="450" customFormat="1">
      <c r="A30" s="448">
        <v>18</v>
      </c>
      <c r="B30" s="19" t="s">
        <v>906</v>
      </c>
      <c r="C30" s="493">
        <v>2</v>
      </c>
      <c r="D30" s="493">
        <v>6</v>
      </c>
      <c r="E30" s="493">
        <v>302</v>
      </c>
    </row>
    <row r="31" spans="1:5" s="450" customFormat="1">
      <c r="A31" s="448">
        <v>19</v>
      </c>
      <c r="B31" s="19" t="s">
        <v>907</v>
      </c>
      <c r="C31" s="493">
        <v>0</v>
      </c>
      <c r="D31" s="493">
        <v>8</v>
      </c>
      <c r="E31" s="493">
        <v>3426</v>
      </c>
    </row>
    <row r="32" spans="1:5" s="450" customFormat="1">
      <c r="A32" s="448">
        <v>20</v>
      </c>
      <c r="B32" s="19" t="s">
        <v>908</v>
      </c>
      <c r="C32" s="493">
        <v>3</v>
      </c>
      <c r="D32" s="493">
        <v>9</v>
      </c>
      <c r="E32" s="493">
        <v>2145</v>
      </c>
    </row>
    <row r="33" spans="1:6" s="450" customFormat="1">
      <c r="A33" s="448">
        <v>21</v>
      </c>
      <c r="B33" s="19" t="s">
        <v>909</v>
      </c>
      <c r="C33" s="493">
        <v>1</v>
      </c>
      <c r="D33" s="493">
        <v>9</v>
      </c>
      <c r="E33" s="493">
        <v>2519</v>
      </c>
    </row>
    <row r="34" spans="1:6" s="450" customFormat="1">
      <c r="A34" s="448">
        <v>22</v>
      </c>
      <c r="B34" s="19" t="s">
        <v>910</v>
      </c>
      <c r="C34" s="493">
        <v>0</v>
      </c>
      <c r="D34" s="493">
        <v>10</v>
      </c>
      <c r="E34" s="493">
        <v>2212</v>
      </c>
    </row>
    <row r="35" spans="1:6" s="450" customFormat="1">
      <c r="A35" s="448">
        <v>23</v>
      </c>
      <c r="B35" s="19" t="s">
        <v>911</v>
      </c>
      <c r="C35" s="493">
        <v>0</v>
      </c>
      <c r="D35" s="493">
        <v>8</v>
      </c>
      <c r="E35" s="493">
        <v>611</v>
      </c>
    </row>
    <row r="36" spans="1:6" s="450" customFormat="1">
      <c r="A36" s="448">
        <v>24</v>
      </c>
      <c r="B36" s="19" t="s">
        <v>912</v>
      </c>
      <c r="C36" s="493">
        <v>0</v>
      </c>
      <c r="D36" s="493">
        <v>9</v>
      </c>
      <c r="E36" s="493">
        <v>1103</v>
      </c>
    </row>
    <row r="37" spans="1:6" s="450" customFormat="1">
      <c r="A37" s="448">
        <v>25</v>
      </c>
      <c r="B37" s="19" t="s">
        <v>913</v>
      </c>
      <c r="C37" s="493">
        <v>0</v>
      </c>
      <c r="D37" s="493">
        <v>10</v>
      </c>
      <c r="E37" s="493">
        <v>4446</v>
      </c>
    </row>
    <row r="38" spans="1:6" s="450" customFormat="1">
      <c r="A38" s="448">
        <v>26</v>
      </c>
      <c r="B38" s="19" t="s">
        <v>914</v>
      </c>
      <c r="C38" s="493">
        <v>1</v>
      </c>
      <c r="D38" s="493">
        <v>9</v>
      </c>
      <c r="E38" s="493">
        <v>6984</v>
      </c>
    </row>
    <row r="39" spans="1:6" s="450" customFormat="1">
      <c r="A39" s="448">
        <v>27</v>
      </c>
      <c r="B39" s="19" t="s">
        <v>915</v>
      </c>
      <c r="C39" s="493">
        <v>0</v>
      </c>
      <c r="D39" s="493">
        <v>9</v>
      </c>
      <c r="E39" s="493">
        <v>5213</v>
      </c>
    </row>
    <row r="40" spans="1:6" s="450" customFormat="1">
      <c r="A40" s="448">
        <v>28</v>
      </c>
      <c r="B40" s="19" t="s">
        <v>916</v>
      </c>
      <c r="C40" s="493">
        <v>2</v>
      </c>
      <c r="D40" s="493">
        <v>10</v>
      </c>
      <c r="E40" s="493">
        <v>818</v>
      </c>
    </row>
    <row r="41" spans="1:6" s="450" customFormat="1">
      <c r="A41" s="448">
        <v>29</v>
      </c>
      <c r="B41" s="19" t="s">
        <v>917</v>
      </c>
      <c r="C41" s="493">
        <v>0</v>
      </c>
      <c r="D41" s="493">
        <v>7</v>
      </c>
      <c r="E41" s="493">
        <v>821</v>
      </c>
    </row>
    <row r="42" spans="1:6" s="450" customFormat="1">
      <c r="A42" s="448">
        <v>30</v>
      </c>
      <c r="B42" s="19" t="s">
        <v>918</v>
      </c>
      <c r="C42" s="493">
        <v>2</v>
      </c>
      <c r="D42" s="493">
        <v>11</v>
      </c>
      <c r="E42" s="493">
        <v>5189</v>
      </c>
    </row>
    <row r="43" spans="1:6" s="450" customFormat="1">
      <c r="A43" s="448">
        <v>31</v>
      </c>
      <c r="B43" s="19" t="s">
        <v>919</v>
      </c>
      <c r="C43" s="493">
        <v>0</v>
      </c>
      <c r="D43" s="493">
        <v>6</v>
      </c>
      <c r="E43" s="493">
        <v>673</v>
      </c>
    </row>
    <row r="44" spans="1:6" s="450" customFormat="1">
      <c r="A44" s="448">
        <v>32</v>
      </c>
      <c r="B44" s="19" t="s">
        <v>920</v>
      </c>
      <c r="C44" s="493">
        <v>2</v>
      </c>
      <c r="D44" s="493">
        <v>9</v>
      </c>
      <c r="E44" s="493">
        <v>2256</v>
      </c>
    </row>
    <row r="45" spans="1:6" s="450" customFormat="1">
      <c r="A45" s="448">
        <v>33</v>
      </c>
      <c r="B45" s="19" t="s">
        <v>921</v>
      </c>
      <c r="C45" s="493">
        <v>4</v>
      </c>
      <c r="D45" s="493">
        <v>10</v>
      </c>
      <c r="E45" s="493">
        <v>7160</v>
      </c>
    </row>
    <row r="46" spans="1:6">
      <c r="A46" s="19" t="s">
        <v>982</v>
      </c>
      <c r="B46" s="19"/>
      <c r="C46" s="684">
        <f>SUM(C13:C45)</f>
        <v>24</v>
      </c>
      <c r="D46" s="684">
        <f t="shared" ref="D46:E46" si="0">SUM(D13:D45)</f>
        <v>289</v>
      </c>
      <c r="E46" s="684">
        <f t="shared" si="0"/>
        <v>86714</v>
      </c>
    </row>
    <row r="47" spans="1:6">
      <c r="E47" s="11"/>
    </row>
    <row r="48" spans="1:6">
      <c r="A48" s="36" t="s">
        <v>12</v>
      </c>
      <c r="E48" s="36" t="s">
        <v>13</v>
      </c>
      <c r="F48" s="135"/>
    </row>
    <row r="49" spans="4:8" ht="12.75" customHeight="1">
      <c r="D49" s="866" t="s">
        <v>14</v>
      </c>
      <c r="E49" s="866"/>
    </row>
    <row r="50" spans="4:8" ht="12.75" customHeight="1">
      <c r="D50" s="866" t="s">
        <v>20</v>
      </c>
      <c r="E50" s="866"/>
    </row>
    <row r="51" spans="4:8">
      <c r="E51" s="14" t="s">
        <v>856</v>
      </c>
      <c r="F51" s="850"/>
      <c r="G51" s="850"/>
      <c r="H51" s="850"/>
    </row>
  </sheetData>
  <mergeCells count="9">
    <mergeCell ref="C3:E3"/>
    <mergeCell ref="A5:E5"/>
    <mergeCell ref="F51:H51"/>
    <mergeCell ref="C10:E10"/>
    <mergeCell ref="D9:E9"/>
    <mergeCell ref="B10:B11"/>
    <mergeCell ref="A10:A11"/>
    <mergeCell ref="D49:E49"/>
    <mergeCell ref="D50:E50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H13"/>
  <sheetViews>
    <sheetView view="pageBreakPreview" zoomScale="90" zoomScaleSheetLayoutView="90" workbookViewId="0">
      <selection activeCell="G37" sqref="G37"/>
    </sheetView>
  </sheetViews>
  <sheetFormatPr defaultRowHeight="12.75"/>
  <sheetData>
    <row r="2" spans="2:8">
      <c r="B2" s="14"/>
    </row>
    <row r="4" spans="2:8" ht="12.75" customHeight="1">
      <c r="B4" s="819"/>
      <c r="C4" s="819"/>
      <c r="D4" s="819"/>
      <c r="E4" s="819"/>
      <c r="F4" s="819"/>
      <c r="G4" s="819"/>
      <c r="H4" s="819"/>
    </row>
    <row r="5" spans="2:8" ht="12.75" customHeight="1">
      <c r="B5" s="819"/>
      <c r="C5" s="819"/>
      <c r="D5" s="819"/>
      <c r="E5" s="819"/>
      <c r="F5" s="819"/>
      <c r="G5" s="819"/>
      <c r="H5" s="819"/>
    </row>
    <row r="6" spans="2:8" ht="12.75" customHeight="1">
      <c r="B6" s="819"/>
      <c r="C6" s="819"/>
      <c r="D6" s="819"/>
      <c r="E6" s="819"/>
      <c r="F6" s="819"/>
      <c r="G6" s="819"/>
      <c r="H6" s="819"/>
    </row>
    <row r="7" spans="2:8" ht="12.75" customHeight="1">
      <c r="B7" s="819"/>
      <c r="C7" s="819"/>
      <c r="D7" s="819"/>
      <c r="E7" s="819"/>
      <c r="F7" s="819"/>
      <c r="G7" s="819"/>
      <c r="H7" s="819"/>
    </row>
    <row r="8" spans="2:8" ht="12.75" customHeight="1">
      <c r="B8" s="819"/>
      <c r="C8" s="819"/>
      <c r="D8" s="819"/>
      <c r="E8" s="819"/>
      <c r="F8" s="819"/>
      <c r="G8" s="819"/>
      <c r="H8" s="819"/>
    </row>
    <row r="9" spans="2:8" ht="12.75" customHeight="1">
      <c r="B9" s="819"/>
      <c r="C9" s="819"/>
      <c r="D9" s="819"/>
      <c r="E9" s="819"/>
      <c r="F9" s="819"/>
      <c r="G9" s="819"/>
      <c r="H9" s="819"/>
    </row>
    <row r="10" spans="2:8" ht="12.75" customHeight="1">
      <c r="B10" s="819"/>
      <c r="C10" s="819"/>
      <c r="D10" s="819"/>
      <c r="E10" s="819"/>
      <c r="F10" s="819"/>
      <c r="G10" s="819"/>
      <c r="H10" s="819"/>
    </row>
    <row r="11" spans="2:8" ht="12.75" customHeight="1">
      <c r="B11" s="819"/>
      <c r="C11" s="819"/>
      <c r="D11" s="819"/>
      <c r="E11" s="819"/>
      <c r="F11" s="819"/>
      <c r="G11" s="819"/>
      <c r="H11" s="819"/>
    </row>
    <row r="12" spans="2:8" ht="12.75" customHeight="1">
      <c r="B12" s="819"/>
      <c r="C12" s="819"/>
      <c r="D12" s="819"/>
      <c r="E12" s="819"/>
      <c r="F12" s="819"/>
      <c r="G12" s="819"/>
      <c r="H12" s="819"/>
    </row>
    <row r="13" spans="2:8" ht="12.75" customHeight="1">
      <c r="B13" s="819"/>
      <c r="C13" s="819"/>
      <c r="D13" s="819"/>
      <c r="E13" s="819"/>
      <c r="F13" s="819"/>
      <c r="G13" s="819"/>
      <c r="H13" s="819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J51"/>
  <sheetViews>
    <sheetView view="pageBreakPreview" topLeftCell="A7" zoomScale="91" zoomScaleSheetLayoutView="91" workbookViewId="0">
      <selection activeCell="G37" sqref="G37"/>
    </sheetView>
  </sheetViews>
  <sheetFormatPr defaultRowHeight="12.75"/>
  <cols>
    <col min="1" max="1" width="8.28515625" customWidth="1"/>
    <col min="2" max="2" width="13.5703125" customWidth="1"/>
    <col min="3" max="3" width="14.285156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0" ht="18">
      <c r="H1" s="1002" t="s">
        <v>674</v>
      </c>
      <c r="I1" s="1002"/>
    </row>
    <row r="2" spans="1:10" ht="18">
      <c r="C2" s="919" t="s">
        <v>0</v>
      </c>
      <c r="D2" s="919"/>
      <c r="E2" s="919"/>
      <c r="F2" s="919"/>
      <c r="G2" s="919"/>
      <c r="H2" s="276"/>
      <c r="I2" s="249"/>
      <c r="J2" s="249"/>
    </row>
    <row r="3" spans="1:10" ht="21">
      <c r="B3" s="920" t="s">
        <v>705</v>
      </c>
      <c r="C3" s="920"/>
      <c r="D3" s="920"/>
      <c r="E3" s="920"/>
      <c r="F3" s="920"/>
      <c r="G3" s="920"/>
      <c r="H3" s="250"/>
      <c r="I3" s="250"/>
      <c r="J3" s="250"/>
    </row>
    <row r="4" spans="1:10" ht="21">
      <c r="C4" s="216"/>
      <c r="D4" s="216"/>
      <c r="E4" s="216"/>
      <c r="F4" s="216"/>
      <c r="G4" s="216"/>
      <c r="H4" s="216"/>
      <c r="I4" s="250"/>
      <c r="J4" s="250"/>
    </row>
    <row r="5" spans="1:10" ht="20.25" customHeight="1">
      <c r="C5" s="1003" t="s">
        <v>770</v>
      </c>
      <c r="D5" s="1003"/>
      <c r="E5" s="1003"/>
      <c r="F5" s="1003"/>
      <c r="G5" s="1003"/>
      <c r="H5" s="1003"/>
    </row>
    <row r="6" spans="1:10" ht="20.25" customHeight="1">
      <c r="A6" t="s">
        <v>1042</v>
      </c>
      <c r="C6" s="254"/>
      <c r="D6" s="254"/>
      <c r="E6" s="254"/>
      <c r="F6" s="254"/>
      <c r="G6" s="254"/>
      <c r="H6" s="1005"/>
      <c r="I6" s="1005"/>
    </row>
    <row r="7" spans="1:10" ht="15" customHeight="1">
      <c r="A7" s="1004" t="s">
        <v>77</v>
      </c>
      <c r="B7" s="1004" t="s">
        <v>40</v>
      </c>
      <c r="C7" s="1004" t="s">
        <v>415</v>
      </c>
      <c r="D7" s="1004" t="s">
        <v>394</v>
      </c>
      <c r="E7" s="1004" t="s">
        <v>393</v>
      </c>
      <c r="F7" s="1004"/>
      <c r="G7" s="1004"/>
      <c r="H7" s="1004" t="s">
        <v>888</v>
      </c>
      <c r="I7" s="1006" t="s">
        <v>419</v>
      </c>
    </row>
    <row r="8" spans="1:10" ht="12.75" customHeight="1">
      <c r="A8" s="1004"/>
      <c r="B8" s="1004"/>
      <c r="C8" s="1004"/>
      <c r="D8" s="1004"/>
      <c r="E8" s="1004" t="s">
        <v>416</v>
      </c>
      <c r="F8" s="1006" t="s">
        <v>417</v>
      </c>
      <c r="G8" s="1004" t="s">
        <v>418</v>
      </c>
      <c r="H8" s="1004"/>
      <c r="I8" s="1007"/>
    </row>
    <row r="9" spans="1:10" ht="20.25" customHeight="1">
      <c r="A9" s="1004"/>
      <c r="B9" s="1004"/>
      <c r="C9" s="1004"/>
      <c r="D9" s="1004"/>
      <c r="E9" s="1004"/>
      <c r="F9" s="1007"/>
      <c r="G9" s="1004"/>
      <c r="H9" s="1004"/>
      <c r="I9" s="1007"/>
    </row>
    <row r="10" spans="1:10" ht="63.75" customHeight="1">
      <c r="A10" s="1004"/>
      <c r="B10" s="1004"/>
      <c r="C10" s="1004"/>
      <c r="D10" s="1004"/>
      <c r="E10" s="1004"/>
      <c r="F10" s="1008"/>
      <c r="G10" s="1004"/>
      <c r="H10" s="1004"/>
      <c r="I10" s="1008"/>
    </row>
    <row r="11" spans="1:10" ht="15">
      <c r="A11" s="256">
        <v>1</v>
      </c>
      <c r="B11" s="256">
        <v>2</v>
      </c>
      <c r="C11" s="257">
        <v>3</v>
      </c>
      <c r="D11" s="256">
        <v>4</v>
      </c>
      <c r="E11" s="256">
        <v>5</v>
      </c>
      <c r="F11" s="257">
        <v>6</v>
      </c>
      <c r="G11" s="256">
        <v>7</v>
      </c>
      <c r="H11" s="256">
        <v>8</v>
      </c>
      <c r="I11" s="257">
        <v>9</v>
      </c>
    </row>
    <row r="12" spans="1:10" ht="15">
      <c r="A12" s="448">
        <v>1</v>
      </c>
      <c r="B12" s="19" t="s">
        <v>889</v>
      </c>
      <c r="C12" s="318"/>
      <c r="D12" s="319"/>
      <c r="E12" s="319"/>
      <c r="F12" s="318"/>
      <c r="G12" s="319"/>
      <c r="H12" s="318"/>
      <c r="I12" s="256"/>
    </row>
    <row r="13" spans="1:10" ht="15">
      <c r="A13" s="448">
        <v>2</v>
      </c>
      <c r="B13" s="19" t="s">
        <v>890</v>
      </c>
      <c r="C13" s="318"/>
      <c r="D13" s="319"/>
      <c r="E13" s="319"/>
      <c r="F13" s="318"/>
      <c r="G13" s="319"/>
      <c r="H13" s="318"/>
      <c r="I13" s="256"/>
    </row>
    <row r="14" spans="1:10" ht="15">
      <c r="A14" s="448">
        <v>3</v>
      </c>
      <c r="B14" s="19" t="s">
        <v>891</v>
      </c>
      <c r="C14" s="318"/>
      <c r="D14" s="319"/>
      <c r="E14" s="319"/>
      <c r="F14" s="318"/>
      <c r="G14" s="319"/>
      <c r="H14" s="318"/>
      <c r="I14" s="256"/>
    </row>
    <row r="15" spans="1:10" ht="15">
      <c r="A15" s="448">
        <v>4</v>
      </c>
      <c r="B15" s="19" t="s">
        <v>892</v>
      </c>
      <c r="C15" s="318"/>
      <c r="D15" s="319"/>
      <c r="E15" s="319"/>
      <c r="F15" s="318"/>
      <c r="G15" s="319"/>
      <c r="H15" s="318"/>
      <c r="I15" s="256"/>
    </row>
    <row r="16" spans="1:10" ht="15">
      <c r="A16" s="448">
        <v>5</v>
      </c>
      <c r="B16" s="19" t="s">
        <v>893</v>
      </c>
      <c r="C16" s="318"/>
      <c r="D16" s="319"/>
      <c r="E16" s="319"/>
      <c r="F16" s="318"/>
      <c r="G16" s="319"/>
      <c r="H16" s="318"/>
      <c r="I16" s="256"/>
    </row>
    <row r="17" spans="1:9" ht="15">
      <c r="A17" s="448">
        <v>6</v>
      </c>
      <c r="B17" s="19" t="s">
        <v>894</v>
      </c>
      <c r="C17" s="318"/>
      <c r="D17" s="319"/>
      <c r="E17" s="319"/>
      <c r="F17" s="318"/>
      <c r="G17" s="319"/>
      <c r="H17" s="318"/>
      <c r="I17" s="256"/>
    </row>
    <row r="18" spans="1:9" ht="15">
      <c r="A18" s="448">
        <v>7</v>
      </c>
      <c r="B18" s="19" t="s">
        <v>895</v>
      </c>
      <c r="C18" s="318"/>
      <c r="D18" s="319"/>
      <c r="E18" s="319"/>
      <c r="F18" s="318"/>
      <c r="G18" s="319"/>
      <c r="H18" s="318"/>
      <c r="I18" s="256"/>
    </row>
    <row r="19" spans="1:9" ht="15">
      <c r="A19" s="448">
        <v>8</v>
      </c>
      <c r="B19" s="19" t="s">
        <v>896</v>
      </c>
      <c r="C19" s="318"/>
      <c r="D19" s="319"/>
      <c r="E19" s="319"/>
      <c r="F19" s="318"/>
      <c r="G19" s="319"/>
      <c r="H19" s="318"/>
      <c r="I19" s="256"/>
    </row>
    <row r="20" spans="1:9">
      <c r="A20" s="448">
        <v>9</v>
      </c>
      <c r="B20" s="19" t="s">
        <v>897</v>
      </c>
      <c r="C20" s="258"/>
      <c r="D20" s="258"/>
      <c r="E20" s="258"/>
      <c r="F20" s="258"/>
      <c r="G20" s="258"/>
      <c r="H20" s="258"/>
      <c r="I20" s="9"/>
    </row>
    <row r="21" spans="1:9">
      <c r="A21" s="448">
        <v>10</v>
      </c>
      <c r="B21" s="19" t="s">
        <v>898</v>
      </c>
      <c r="C21" s="259"/>
      <c r="D21" s="259"/>
      <c r="E21" s="259"/>
      <c r="F21" s="259"/>
      <c r="G21" s="259"/>
      <c r="H21" s="259"/>
      <c r="I21" s="9"/>
    </row>
    <row r="22" spans="1:9">
      <c r="A22" s="448">
        <v>11</v>
      </c>
      <c r="B22" s="19" t="s">
        <v>899</v>
      </c>
      <c r="C22" s="259"/>
      <c r="D22" s="259"/>
      <c r="E22" s="259"/>
      <c r="F22" s="259"/>
      <c r="G22" s="259"/>
      <c r="H22" s="259"/>
      <c r="I22" s="9"/>
    </row>
    <row r="23" spans="1:9">
      <c r="A23" s="448">
        <v>12</v>
      </c>
      <c r="B23" s="19" t="s">
        <v>900</v>
      </c>
      <c r="C23" s="259"/>
      <c r="D23" s="259"/>
      <c r="E23" s="259"/>
      <c r="F23" s="259"/>
      <c r="G23" s="259"/>
      <c r="H23" s="259"/>
      <c r="I23" s="9"/>
    </row>
    <row r="24" spans="1:9">
      <c r="A24" s="448">
        <v>13</v>
      </c>
      <c r="B24" s="19" t="s">
        <v>901</v>
      </c>
      <c r="C24" s="9"/>
      <c r="D24" s="9"/>
      <c r="E24" s="9"/>
      <c r="F24" s="9"/>
      <c r="G24" s="9"/>
      <c r="H24" s="9"/>
      <c r="I24" s="9"/>
    </row>
    <row r="25" spans="1:9">
      <c r="A25" s="448">
        <v>14</v>
      </c>
      <c r="B25" s="19" t="s">
        <v>902</v>
      </c>
      <c r="C25" s="9"/>
      <c r="D25" s="9"/>
      <c r="E25" s="9"/>
      <c r="F25" s="9"/>
      <c r="G25" s="9"/>
      <c r="H25" s="9"/>
      <c r="I25" s="9"/>
    </row>
    <row r="26" spans="1:9">
      <c r="A26" s="448">
        <v>15</v>
      </c>
      <c r="B26" s="19" t="s">
        <v>903</v>
      </c>
      <c r="C26" s="9"/>
      <c r="D26" s="9"/>
      <c r="E26" s="9"/>
      <c r="F26" s="9"/>
      <c r="G26" s="9"/>
      <c r="H26" s="9"/>
      <c r="I26" s="9"/>
    </row>
    <row r="27" spans="1:9">
      <c r="A27" s="448">
        <v>16</v>
      </c>
      <c r="B27" s="19" t="s">
        <v>904</v>
      </c>
      <c r="C27" s="9"/>
      <c r="D27" s="9"/>
      <c r="E27" s="9"/>
      <c r="F27" s="9"/>
      <c r="G27" s="9"/>
      <c r="H27" s="9"/>
      <c r="I27" s="9"/>
    </row>
    <row r="28" spans="1:9">
      <c r="A28" s="448">
        <v>17</v>
      </c>
      <c r="B28" s="19" t="s">
        <v>905</v>
      </c>
      <c r="C28" s="9"/>
      <c r="D28" s="9"/>
      <c r="E28" s="9"/>
      <c r="F28" s="9"/>
      <c r="G28" s="9"/>
      <c r="H28" s="9"/>
      <c r="I28" s="9"/>
    </row>
    <row r="29" spans="1:9">
      <c r="A29" s="448">
        <v>18</v>
      </c>
      <c r="B29" s="19" t="s">
        <v>906</v>
      </c>
      <c r="C29" s="9"/>
      <c r="D29" s="9"/>
      <c r="E29" s="9"/>
      <c r="F29" s="9"/>
      <c r="G29" s="9"/>
      <c r="H29" s="9"/>
      <c r="I29" s="9"/>
    </row>
    <row r="30" spans="1:9">
      <c r="A30" s="448">
        <v>19</v>
      </c>
      <c r="B30" s="19" t="s">
        <v>907</v>
      </c>
      <c r="C30" s="9"/>
      <c r="D30" s="9"/>
      <c r="E30" s="9"/>
      <c r="F30" s="9"/>
      <c r="G30" s="9"/>
      <c r="H30" s="9"/>
      <c r="I30" s="9"/>
    </row>
    <row r="31" spans="1:9">
      <c r="A31" s="448">
        <v>20</v>
      </c>
      <c r="B31" s="19" t="s">
        <v>908</v>
      </c>
      <c r="C31" s="9"/>
      <c r="D31" s="9"/>
      <c r="E31" s="9"/>
      <c r="F31" s="9"/>
      <c r="G31" s="9"/>
      <c r="H31" s="9"/>
      <c r="I31" s="9"/>
    </row>
    <row r="32" spans="1:9">
      <c r="A32" s="448">
        <v>21</v>
      </c>
      <c r="B32" s="19" t="s">
        <v>909</v>
      </c>
      <c r="C32" s="9"/>
      <c r="D32" s="9"/>
      <c r="E32" s="9"/>
      <c r="F32" s="9"/>
      <c r="G32" s="9"/>
      <c r="H32" s="9"/>
      <c r="I32" s="9"/>
    </row>
    <row r="33" spans="1:9">
      <c r="A33" s="448">
        <v>22</v>
      </c>
      <c r="B33" s="19" t="s">
        <v>910</v>
      </c>
      <c r="C33" s="9"/>
      <c r="D33" s="9"/>
      <c r="E33" s="9"/>
      <c r="F33" s="9"/>
      <c r="G33" s="9"/>
      <c r="H33" s="9"/>
      <c r="I33" s="9"/>
    </row>
    <row r="34" spans="1:9">
      <c r="A34" s="448">
        <v>23</v>
      </c>
      <c r="B34" s="19" t="s">
        <v>911</v>
      </c>
      <c r="C34" s="9"/>
      <c r="D34" s="9"/>
      <c r="E34" s="9"/>
      <c r="F34" s="9"/>
      <c r="G34" s="9"/>
      <c r="H34" s="9"/>
      <c r="I34" s="9"/>
    </row>
    <row r="35" spans="1:9">
      <c r="A35" s="448">
        <v>24</v>
      </c>
      <c r="B35" s="19" t="s">
        <v>912</v>
      </c>
      <c r="C35" s="9"/>
      <c r="D35" s="9"/>
      <c r="E35" s="9"/>
      <c r="F35" s="9"/>
      <c r="G35" s="9"/>
      <c r="H35" s="9"/>
      <c r="I35" s="9"/>
    </row>
    <row r="36" spans="1:9">
      <c r="A36" s="448">
        <v>25</v>
      </c>
      <c r="B36" s="19" t="s">
        <v>913</v>
      </c>
      <c r="C36" s="9"/>
      <c r="D36" s="9"/>
      <c r="E36" s="9"/>
      <c r="F36" s="9"/>
      <c r="G36" s="9"/>
      <c r="H36" s="9"/>
      <c r="I36" s="9"/>
    </row>
    <row r="37" spans="1:9">
      <c r="A37" s="448">
        <v>26</v>
      </c>
      <c r="B37" s="19" t="s">
        <v>914</v>
      </c>
      <c r="C37" s="9"/>
      <c r="D37" s="9"/>
      <c r="E37" s="9"/>
      <c r="F37" s="9"/>
      <c r="G37" s="9"/>
      <c r="H37" s="9"/>
      <c r="I37" s="9"/>
    </row>
    <row r="38" spans="1:9">
      <c r="A38" s="448">
        <v>27</v>
      </c>
      <c r="B38" s="19" t="s">
        <v>915</v>
      </c>
      <c r="C38" s="9"/>
      <c r="D38" s="9"/>
      <c r="E38" s="9"/>
      <c r="F38" s="9"/>
      <c r="G38" s="9"/>
      <c r="H38" s="9"/>
      <c r="I38" s="9"/>
    </row>
    <row r="39" spans="1:9">
      <c r="A39" s="448">
        <v>28</v>
      </c>
      <c r="B39" s="19" t="s">
        <v>916</v>
      </c>
      <c r="C39" s="9"/>
      <c r="D39" s="9"/>
      <c r="E39" s="9"/>
      <c r="F39" s="9"/>
      <c r="G39" s="9"/>
      <c r="H39" s="9"/>
      <c r="I39" s="9"/>
    </row>
    <row r="40" spans="1:9">
      <c r="A40" s="448">
        <v>29</v>
      </c>
      <c r="B40" s="19" t="s">
        <v>917</v>
      </c>
      <c r="C40" s="9"/>
      <c r="D40" s="9"/>
      <c r="E40" s="9"/>
      <c r="F40" s="9"/>
      <c r="G40" s="9"/>
      <c r="H40" s="9"/>
      <c r="I40" s="9"/>
    </row>
    <row r="41" spans="1:9">
      <c r="A41" s="448">
        <v>30</v>
      </c>
      <c r="B41" s="19" t="s">
        <v>918</v>
      </c>
      <c r="C41" s="9"/>
      <c r="D41" s="9"/>
      <c r="E41" s="9"/>
      <c r="F41" s="9"/>
      <c r="G41" s="9"/>
      <c r="H41" s="9"/>
      <c r="I41" s="9"/>
    </row>
    <row r="42" spans="1:9">
      <c r="A42" s="448">
        <v>31</v>
      </c>
      <c r="B42" s="19" t="s">
        <v>919</v>
      </c>
      <c r="C42" s="9"/>
      <c r="D42" s="9"/>
      <c r="E42" s="9"/>
      <c r="F42" s="9"/>
      <c r="G42" s="9"/>
      <c r="H42" s="9"/>
      <c r="I42" s="9"/>
    </row>
    <row r="43" spans="1:9">
      <c r="A43" s="448">
        <v>32</v>
      </c>
      <c r="B43" s="19" t="s">
        <v>920</v>
      </c>
      <c r="C43" s="9"/>
      <c r="D43" s="9"/>
      <c r="E43" s="9"/>
      <c r="F43" s="9"/>
      <c r="G43" s="9"/>
      <c r="H43" s="9"/>
      <c r="I43" s="9"/>
    </row>
    <row r="44" spans="1:9">
      <c r="A44" s="448">
        <v>33</v>
      </c>
      <c r="B44" s="19" t="s">
        <v>921</v>
      </c>
      <c r="C44" s="9"/>
      <c r="D44" s="9"/>
      <c r="E44" s="9"/>
      <c r="F44" s="9"/>
      <c r="G44" s="9"/>
      <c r="H44" s="9"/>
      <c r="I44" s="9"/>
    </row>
    <row r="45" spans="1:9">
      <c r="A45" s="18" t="s">
        <v>7</v>
      </c>
      <c r="B45" s="9"/>
      <c r="C45" s="9"/>
      <c r="D45" s="9"/>
      <c r="E45" s="9"/>
      <c r="F45" s="9"/>
      <c r="G45" s="9"/>
      <c r="H45" s="9"/>
      <c r="I45" s="9"/>
    </row>
    <row r="46" spans="1:9">
      <c r="A46" s="30" t="s">
        <v>19</v>
      </c>
      <c r="B46" s="9"/>
      <c r="C46" s="9"/>
      <c r="D46" s="9"/>
      <c r="E46" s="9"/>
      <c r="F46" s="9"/>
      <c r="G46" s="9"/>
      <c r="H46" s="9"/>
      <c r="I46" s="9"/>
    </row>
    <row r="48" spans="1:9">
      <c r="A48" s="224"/>
      <c r="B48" s="224"/>
      <c r="C48" s="224"/>
      <c r="D48" s="224"/>
      <c r="G48" s="225" t="s">
        <v>13</v>
      </c>
    </row>
    <row r="49" spans="1:8" ht="15" customHeight="1">
      <c r="A49" s="224"/>
      <c r="B49" s="224"/>
      <c r="C49" s="224"/>
      <c r="D49" s="224"/>
      <c r="F49" s="917" t="s">
        <v>14</v>
      </c>
      <c r="G49" s="917"/>
      <c r="H49" s="917"/>
    </row>
    <row r="50" spans="1:8" ht="15" customHeight="1">
      <c r="A50" s="224"/>
      <c r="B50" s="224"/>
      <c r="C50" s="224"/>
      <c r="D50" s="224"/>
      <c r="F50" s="917" t="s">
        <v>90</v>
      </c>
      <c r="G50" s="917"/>
      <c r="H50" s="917"/>
    </row>
    <row r="51" spans="1:8">
      <c r="A51" s="224" t="s">
        <v>12</v>
      </c>
      <c r="C51" s="224"/>
      <c r="D51" s="224"/>
      <c r="G51" s="226" t="s">
        <v>87</v>
      </c>
    </row>
  </sheetData>
  <mergeCells count="17">
    <mergeCell ref="F50:H50"/>
    <mergeCell ref="A7:A10"/>
    <mergeCell ref="G8:G10"/>
    <mergeCell ref="H7:H10"/>
    <mergeCell ref="B7:B10"/>
    <mergeCell ref="C7:C10"/>
    <mergeCell ref="E7:G7"/>
    <mergeCell ref="F49:H49"/>
    <mergeCell ref="H1:I1"/>
    <mergeCell ref="C5:H5"/>
    <mergeCell ref="D7:D10"/>
    <mergeCell ref="H6:I6"/>
    <mergeCell ref="C2:G2"/>
    <mergeCell ref="B3:G3"/>
    <mergeCell ref="I7:I10"/>
    <mergeCell ref="E8:E10"/>
    <mergeCell ref="F8:F10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8"/>
  <sheetViews>
    <sheetView view="pageBreakPreview" topLeftCell="A16" zoomScale="120" zoomScaleSheetLayoutView="120" workbookViewId="0">
      <selection activeCell="G37" sqref="G37"/>
    </sheetView>
  </sheetViews>
  <sheetFormatPr defaultRowHeight="12.75"/>
  <cols>
    <col min="2" max="2" width="12.425781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0" ht="18">
      <c r="A1" s="919" t="s">
        <v>0</v>
      </c>
      <c r="B1" s="919"/>
      <c r="C1" s="919"/>
      <c r="D1" s="919"/>
      <c r="E1" s="919"/>
      <c r="F1" s="919"/>
      <c r="G1" s="919"/>
      <c r="H1" s="919"/>
      <c r="I1" s="249"/>
      <c r="J1" s="325" t="s">
        <v>554</v>
      </c>
    </row>
    <row r="2" spans="1:10" ht="21">
      <c r="A2" s="920" t="s">
        <v>705</v>
      </c>
      <c r="B2" s="920"/>
      <c r="C2" s="920"/>
      <c r="D2" s="920"/>
      <c r="E2" s="920"/>
      <c r="F2" s="920"/>
      <c r="G2" s="920"/>
      <c r="H2" s="920"/>
      <c r="I2" s="920"/>
      <c r="J2" s="920"/>
    </row>
    <row r="3" spans="1:10" ht="15">
      <c r="A3" s="217"/>
      <c r="B3" s="217"/>
      <c r="C3" s="217"/>
      <c r="D3" s="217"/>
      <c r="E3" s="217"/>
      <c r="F3" s="217"/>
      <c r="G3" s="217"/>
      <c r="H3" s="217"/>
      <c r="I3" s="217"/>
    </row>
    <row r="4" spans="1:10" ht="18">
      <c r="A4" s="919" t="s">
        <v>553</v>
      </c>
      <c r="B4" s="919"/>
      <c r="C4" s="919"/>
      <c r="D4" s="919"/>
      <c r="E4" s="919"/>
      <c r="F4" s="919"/>
      <c r="G4" s="919"/>
      <c r="H4" s="919"/>
      <c r="I4" s="919"/>
    </row>
    <row r="5" spans="1:10" ht="15">
      <c r="A5" s="218" t="s">
        <v>922</v>
      </c>
      <c r="B5" s="218"/>
      <c r="C5" s="218"/>
      <c r="D5" s="218"/>
      <c r="E5" s="218"/>
      <c r="F5" s="218"/>
      <c r="G5" s="218"/>
      <c r="H5" s="218"/>
      <c r="I5" s="1009" t="s">
        <v>784</v>
      </c>
      <c r="J5" s="1009"/>
    </row>
    <row r="6" spans="1:10" ht="25.5" customHeight="1">
      <c r="A6" s="1012" t="s">
        <v>2</v>
      </c>
      <c r="B6" s="1012" t="s">
        <v>395</v>
      </c>
      <c r="C6" s="844" t="s">
        <v>396</v>
      </c>
      <c r="D6" s="844"/>
      <c r="E6" s="844"/>
      <c r="F6" s="1013" t="s">
        <v>399</v>
      </c>
      <c r="G6" s="1014"/>
      <c r="H6" s="1014"/>
      <c r="I6" s="1015"/>
      <c r="J6" s="1010" t="s">
        <v>403</v>
      </c>
    </row>
    <row r="7" spans="1:10" ht="63" customHeight="1">
      <c r="A7" s="1012"/>
      <c r="B7" s="1012"/>
      <c r="C7" s="5" t="s">
        <v>106</v>
      </c>
      <c r="D7" s="5" t="s">
        <v>397</v>
      </c>
      <c r="E7" s="5" t="s">
        <v>398</v>
      </c>
      <c r="F7" s="252" t="s">
        <v>400</v>
      </c>
      <c r="G7" s="252" t="s">
        <v>401</v>
      </c>
      <c r="H7" s="252" t="s">
        <v>402</v>
      </c>
      <c r="I7" s="252" t="s">
        <v>50</v>
      </c>
      <c r="J7" s="1011"/>
    </row>
    <row r="8" spans="1:10" ht="15">
      <c r="A8" s="221" t="s">
        <v>264</v>
      </c>
      <c r="B8" s="221" t="s">
        <v>265</v>
      </c>
      <c r="C8" s="221" t="s">
        <v>266</v>
      </c>
      <c r="D8" s="221" t="s">
        <v>267</v>
      </c>
      <c r="E8" s="221" t="s">
        <v>268</v>
      </c>
      <c r="F8" s="221" t="s">
        <v>271</v>
      </c>
      <c r="G8" s="221" t="s">
        <v>290</v>
      </c>
      <c r="H8" s="221" t="s">
        <v>291</v>
      </c>
      <c r="I8" s="221" t="s">
        <v>292</v>
      </c>
      <c r="J8" s="221" t="s">
        <v>320</v>
      </c>
    </row>
    <row r="9" spans="1:10" ht="15">
      <c r="A9" s="448">
        <v>1</v>
      </c>
      <c r="B9" s="19" t="s">
        <v>889</v>
      </c>
      <c r="C9" s="221"/>
      <c r="D9" s="221"/>
      <c r="E9" s="221"/>
      <c r="F9" s="221"/>
      <c r="G9" s="221"/>
      <c r="H9" s="221"/>
      <c r="I9" s="221"/>
      <c r="J9" s="221"/>
    </row>
    <row r="10" spans="1:10" ht="15">
      <c r="A10" s="448">
        <v>2</v>
      </c>
      <c r="B10" s="19" t="s">
        <v>890</v>
      </c>
      <c r="C10" s="221"/>
      <c r="D10" s="221"/>
      <c r="E10" s="221"/>
      <c r="F10" s="221"/>
      <c r="G10" s="221"/>
      <c r="H10" s="221"/>
      <c r="I10" s="221"/>
      <c r="J10" s="221"/>
    </row>
    <row r="11" spans="1:10" ht="15">
      <c r="A11" s="448">
        <v>3</v>
      </c>
      <c r="B11" s="19" t="s">
        <v>891</v>
      </c>
      <c r="C11" s="221"/>
      <c r="D11" s="221"/>
      <c r="E11" s="221"/>
      <c r="F11" s="221"/>
      <c r="G11" s="221"/>
      <c r="H11" s="221"/>
      <c r="I11" s="221"/>
      <c r="J11" s="221"/>
    </row>
    <row r="12" spans="1:10" ht="15">
      <c r="A12" s="448">
        <v>4</v>
      </c>
      <c r="B12" s="19" t="s">
        <v>892</v>
      </c>
      <c r="C12" s="221"/>
      <c r="D12" s="221"/>
      <c r="E12" s="221"/>
      <c r="F12" s="221"/>
      <c r="G12" s="221"/>
      <c r="H12" s="221"/>
      <c r="I12" s="221"/>
      <c r="J12" s="221"/>
    </row>
    <row r="13" spans="1:10" ht="15">
      <c r="A13" s="448">
        <v>5</v>
      </c>
      <c r="B13" s="19" t="s">
        <v>893</v>
      </c>
      <c r="C13" s="221"/>
      <c r="D13" s="221"/>
      <c r="E13" s="221"/>
      <c r="F13" s="221"/>
      <c r="G13" s="221"/>
      <c r="H13" s="221"/>
      <c r="I13" s="221"/>
      <c r="J13" s="221"/>
    </row>
    <row r="14" spans="1:10" ht="15">
      <c r="A14" s="448">
        <v>6</v>
      </c>
      <c r="B14" s="19" t="s">
        <v>894</v>
      </c>
      <c r="C14" s="221"/>
      <c r="D14" s="221"/>
      <c r="E14" s="221"/>
      <c r="F14" s="221"/>
      <c r="G14" s="221"/>
      <c r="H14" s="221"/>
      <c r="I14" s="221"/>
      <c r="J14" s="221"/>
    </row>
    <row r="15" spans="1:10" ht="15">
      <c r="A15" s="448">
        <v>7</v>
      </c>
      <c r="B15" s="19" t="s">
        <v>895</v>
      </c>
      <c r="C15" s="221"/>
      <c r="D15" s="221"/>
      <c r="E15" s="221"/>
      <c r="F15" s="221"/>
      <c r="G15" s="221"/>
      <c r="H15" s="221"/>
      <c r="I15" s="221"/>
      <c r="J15" s="221"/>
    </row>
    <row r="16" spans="1:10" ht="15">
      <c r="A16" s="448">
        <v>8</v>
      </c>
      <c r="B16" s="19" t="s">
        <v>896</v>
      </c>
      <c r="C16" s="221"/>
      <c r="D16" s="221"/>
      <c r="E16" s="221"/>
      <c r="F16" s="221"/>
      <c r="G16" s="221"/>
      <c r="H16" s="221"/>
      <c r="I16" s="221"/>
      <c r="J16" s="221"/>
    </row>
    <row r="17" spans="1:13" ht="15">
      <c r="A17" s="448">
        <v>9</v>
      </c>
      <c r="B17" s="19" t="s">
        <v>897</v>
      </c>
      <c r="C17" s="221"/>
      <c r="D17" s="221"/>
      <c r="E17" s="221"/>
      <c r="F17" s="221"/>
      <c r="G17" s="221"/>
      <c r="H17" s="221"/>
      <c r="I17" s="221"/>
      <c r="J17" s="221"/>
    </row>
    <row r="18" spans="1:13">
      <c r="A18" s="448">
        <v>10</v>
      </c>
      <c r="B18" s="19" t="s">
        <v>898</v>
      </c>
      <c r="C18" s="9"/>
      <c r="D18" s="9"/>
      <c r="E18" s="9"/>
      <c r="F18" s="9"/>
      <c r="G18" s="9"/>
      <c r="H18" s="9"/>
      <c r="I18" s="9"/>
      <c r="J18" s="9"/>
    </row>
    <row r="19" spans="1:13">
      <c r="A19" s="448">
        <v>11</v>
      </c>
      <c r="B19" s="19" t="s">
        <v>899</v>
      </c>
      <c r="C19" s="9"/>
      <c r="D19" s="9"/>
      <c r="E19" s="9"/>
      <c r="F19" s="9"/>
      <c r="G19" s="9"/>
      <c r="H19" s="9"/>
      <c r="I19" s="9"/>
      <c r="J19" s="9"/>
    </row>
    <row r="20" spans="1:13">
      <c r="A20" s="448">
        <v>12</v>
      </c>
      <c r="B20" s="19" t="s">
        <v>900</v>
      </c>
      <c r="C20" s="9"/>
      <c r="D20" s="9"/>
      <c r="E20" s="9"/>
      <c r="F20" s="9"/>
      <c r="G20" s="9"/>
      <c r="H20" s="9"/>
      <c r="I20" s="9"/>
      <c r="J20" s="9"/>
    </row>
    <row r="21" spans="1:13">
      <c r="A21" s="448">
        <v>13</v>
      </c>
      <c r="B21" s="19" t="s">
        <v>901</v>
      </c>
      <c r="C21" s="9"/>
      <c r="D21" s="9"/>
      <c r="E21" s="9"/>
      <c r="F21" s="9"/>
      <c r="G21" s="9"/>
      <c r="H21" s="9"/>
      <c r="I21" s="9"/>
      <c r="J21" s="9"/>
    </row>
    <row r="22" spans="1:13">
      <c r="A22" s="448">
        <v>14</v>
      </c>
      <c r="B22" s="19" t="s">
        <v>902</v>
      </c>
      <c r="C22" s="9"/>
      <c r="D22" s="9"/>
      <c r="E22" s="9"/>
      <c r="F22" s="9"/>
      <c r="G22" s="9"/>
      <c r="H22" s="9"/>
      <c r="I22" s="9"/>
      <c r="J22" s="9"/>
      <c r="M22" s="15" t="s">
        <v>404</v>
      </c>
    </row>
    <row r="23" spans="1:13">
      <c r="A23" s="448">
        <v>15</v>
      </c>
      <c r="B23" s="19" t="s">
        <v>903</v>
      </c>
      <c r="C23" s="9"/>
      <c r="D23" s="9"/>
      <c r="E23" s="9"/>
      <c r="F23" s="9"/>
      <c r="G23" s="9"/>
      <c r="H23" s="9"/>
      <c r="I23" s="9"/>
      <c r="J23" s="9"/>
      <c r="M23" s="450"/>
    </row>
    <row r="24" spans="1:13">
      <c r="A24" s="448">
        <v>16</v>
      </c>
      <c r="B24" s="19" t="s">
        <v>904</v>
      </c>
      <c r="C24" s="9"/>
      <c r="D24" s="9"/>
      <c r="E24" s="9"/>
      <c r="F24" s="9"/>
      <c r="G24" s="9"/>
      <c r="H24" s="9"/>
      <c r="I24" s="9"/>
      <c r="J24" s="9"/>
      <c r="M24" s="450"/>
    </row>
    <row r="25" spans="1:13">
      <c r="A25" s="448">
        <v>17</v>
      </c>
      <c r="B25" s="19" t="s">
        <v>905</v>
      </c>
      <c r="C25" s="9"/>
      <c r="D25" s="9"/>
      <c r="E25" s="9"/>
      <c r="F25" s="9"/>
      <c r="G25" s="9"/>
      <c r="H25" s="9"/>
      <c r="I25" s="9"/>
      <c r="J25" s="9"/>
      <c r="M25" s="450"/>
    </row>
    <row r="26" spans="1:13">
      <c r="A26" s="448">
        <v>18</v>
      </c>
      <c r="B26" s="19" t="s">
        <v>906</v>
      </c>
      <c r="C26" s="9"/>
      <c r="D26" s="9"/>
      <c r="E26" s="9"/>
      <c r="F26" s="9"/>
      <c r="G26" s="9"/>
      <c r="H26" s="9"/>
      <c r="I26" s="9"/>
      <c r="J26" s="9"/>
      <c r="M26" s="450"/>
    </row>
    <row r="27" spans="1:13">
      <c r="A27" s="448">
        <v>19</v>
      </c>
      <c r="B27" s="19" t="s">
        <v>907</v>
      </c>
      <c r="C27" s="9"/>
      <c r="D27" s="9"/>
      <c r="E27" s="9"/>
      <c r="F27" s="9"/>
      <c r="G27" s="9"/>
      <c r="H27" s="9"/>
      <c r="I27" s="9"/>
      <c r="J27" s="9"/>
      <c r="M27" s="450"/>
    </row>
    <row r="28" spans="1:13">
      <c r="A28" s="448">
        <v>20</v>
      </c>
      <c r="B28" s="19" t="s">
        <v>908</v>
      </c>
      <c r="C28" s="9"/>
      <c r="D28" s="9"/>
      <c r="E28" s="9"/>
      <c r="F28" s="9"/>
      <c r="G28" s="9"/>
      <c r="H28" s="9"/>
      <c r="I28" s="9"/>
      <c r="J28" s="9"/>
      <c r="M28" s="450"/>
    </row>
    <row r="29" spans="1:13">
      <c r="A29" s="448">
        <v>21</v>
      </c>
      <c r="B29" s="19" t="s">
        <v>909</v>
      </c>
      <c r="C29" s="9"/>
      <c r="D29" s="9"/>
      <c r="E29" s="9"/>
      <c r="F29" s="9"/>
      <c r="G29" s="9"/>
      <c r="H29" s="9"/>
      <c r="I29" s="9"/>
      <c r="J29" s="9"/>
      <c r="M29" s="450"/>
    </row>
    <row r="30" spans="1:13">
      <c r="A30" s="448">
        <v>22</v>
      </c>
      <c r="B30" s="19" t="s">
        <v>910</v>
      </c>
      <c r="C30" s="9"/>
      <c r="D30" s="9"/>
      <c r="E30" s="9"/>
      <c r="F30" s="9"/>
      <c r="G30" s="9"/>
      <c r="H30" s="9"/>
      <c r="I30" s="9"/>
      <c r="J30" s="9"/>
      <c r="M30" s="450"/>
    </row>
    <row r="31" spans="1:13">
      <c r="A31" s="448">
        <v>23</v>
      </c>
      <c r="B31" s="19" t="s">
        <v>911</v>
      </c>
      <c r="C31" s="9"/>
      <c r="D31" s="9"/>
      <c r="E31" s="9"/>
      <c r="F31" s="9"/>
      <c r="G31" s="9"/>
      <c r="H31" s="9"/>
      <c r="I31" s="9"/>
      <c r="J31" s="9"/>
      <c r="M31" s="450"/>
    </row>
    <row r="32" spans="1:13">
      <c r="A32" s="448">
        <v>24</v>
      </c>
      <c r="B32" s="19" t="s">
        <v>912</v>
      </c>
      <c r="C32" s="9"/>
      <c r="D32" s="9"/>
      <c r="E32" s="9"/>
      <c r="F32" s="9"/>
      <c r="G32" s="9"/>
      <c r="H32" s="9"/>
      <c r="I32" s="9"/>
      <c r="J32" s="9"/>
      <c r="M32" s="450"/>
    </row>
    <row r="33" spans="1:13">
      <c r="A33" s="448">
        <v>25</v>
      </c>
      <c r="B33" s="19" t="s">
        <v>913</v>
      </c>
      <c r="C33" s="9"/>
      <c r="D33" s="9"/>
      <c r="E33" s="9"/>
      <c r="F33" s="9"/>
      <c r="G33" s="9"/>
      <c r="H33" s="9"/>
      <c r="I33" s="9"/>
      <c r="J33" s="9"/>
      <c r="M33" s="450"/>
    </row>
    <row r="34" spans="1:13">
      <c r="A34" s="448">
        <v>26</v>
      </c>
      <c r="B34" s="19" t="s">
        <v>914</v>
      </c>
      <c r="C34" s="9"/>
      <c r="D34" s="9"/>
      <c r="E34" s="9"/>
      <c r="F34" s="9"/>
      <c r="G34" s="9"/>
      <c r="H34" s="9"/>
      <c r="I34" s="9"/>
      <c r="J34" s="9"/>
      <c r="M34" s="450"/>
    </row>
    <row r="35" spans="1:13">
      <c r="A35" s="448">
        <v>27</v>
      </c>
      <c r="B35" s="19" t="s">
        <v>915</v>
      </c>
      <c r="C35" s="9"/>
      <c r="D35" s="9"/>
      <c r="E35" s="9"/>
      <c r="F35" s="9"/>
      <c r="G35" s="9"/>
      <c r="H35" s="9"/>
      <c r="I35" s="9"/>
      <c r="J35" s="9"/>
      <c r="M35" s="450"/>
    </row>
    <row r="36" spans="1:13">
      <c r="A36" s="448">
        <v>28</v>
      </c>
      <c r="B36" s="19" t="s">
        <v>916</v>
      </c>
      <c r="C36" s="9"/>
      <c r="D36" s="9"/>
      <c r="E36" s="9"/>
      <c r="F36" s="9"/>
      <c r="G36" s="9"/>
      <c r="H36" s="9"/>
      <c r="I36" s="9"/>
      <c r="J36" s="9"/>
      <c r="M36" s="450"/>
    </row>
    <row r="37" spans="1:13">
      <c r="A37" s="448">
        <v>29</v>
      </c>
      <c r="B37" s="19" t="s">
        <v>917</v>
      </c>
      <c r="C37" s="9"/>
      <c r="D37" s="9"/>
      <c r="E37" s="9"/>
      <c r="F37" s="9"/>
      <c r="G37" s="9"/>
      <c r="H37" s="9"/>
      <c r="I37" s="9"/>
      <c r="J37" s="9"/>
      <c r="M37" s="450"/>
    </row>
    <row r="38" spans="1:13">
      <c r="A38" s="448">
        <v>30</v>
      </c>
      <c r="B38" s="19" t="s">
        <v>918</v>
      </c>
      <c r="C38" s="9"/>
      <c r="D38" s="9"/>
      <c r="E38" s="9"/>
      <c r="F38" s="9"/>
      <c r="G38" s="9"/>
      <c r="H38" s="9"/>
      <c r="I38" s="9"/>
      <c r="J38" s="9"/>
      <c r="M38" s="450"/>
    </row>
    <row r="39" spans="1:13">
      <c r="A39" s="448">
        <v>31</v>
      </c>
      <c r="B39" s="19" t="s">
        <v>919</v>
      </c>
      <c r="C39" s="9"/>
      <c r="D39" s="9"/>
      <c r="E39" s="9"/>
      <c r="F39" s="9"/>
      <c r="G39" s="9"/>
      <c r="H39" s="9"/>
      <c r="I39" s="9"/>
      <c r="J39" s="9"/>
      <c r="M39" s="450"/>
    </row>
    <row r="40" spans="1:13">
      <c r="A40" s="448">
        <v>32</v>
      </c>
      <c r="B40" s="19" t="s">
        <v>920</v>
      </c>
      <c r="C40" s="9"/>
      <c r="D40" s="9"/>
      <c r="E40" s="9"/>
      <c r="F40" s="9"/>
      <c r="G40" s="9"/>
      <c r="H40" s="9"/>
      <c r="I40" s="9"/>
      <c r="J40" s="9"/>
      <c r="M40" s="450"/>
    </row>
    <row r="41" spans="1:13">
      <c r="A41" s="448">
        <v>33</v>
      </c>
      <c r="B41" s="19" t="s">
        <v>921</v>
      </c>
      <c r="C41" s="9"/>
      <c r="D41" s="9"/>
      <c r="E41" s="9"/>
      <c r="F41" s="9"/>
      <c r="G41" s="9"/>
      <c r="H41" s="9"/>
      <c r="I41" s="9"/>
      <c r="J41" s="9"/>
      <c r="M41" s="450"/>
    </row>
    <row r="42" spans="1:13">
      <c r="A42" s="30" t="s">
        <v>19</v>
      </c>
      <c r="B42" s="9"/>
      <c r="C42" s="9"/>
      <c r="D42" s="9"/>
      <c r="E42" s="9"/>
      <c r="F42" s="9"/>
      <c r="G42" s="9"/>
      <c r="H42" s="9"/>
      <c r="I42" s="9"/>
      <c r="J42" s="9"/>
    </row>
    <row r="45" spans="1:13" ht="12.75" customHeight="1">
      <c r="A45" s="224"/>
      <c r="B45" s="224"/>
      <c r="C45" s="224"/>
      <c r="D45" s="224"/>
      <c r="I45" s="917" t="s">
        <v>13</v>
      </c>
      <c r="J45" s="917"/>
    </row>
    <row r="46" spans="1:13" ht="12.75" customHeight="1">
      <c r="A46" s="224"/>
      <c r="B46" s="224"/>
      <c r="C46" s="224"/>
      <c r="D46" s="224"/>
      <c r="I46" s="917" t="s">
        <v>14</v>
      </c>
      <c r="J46" s="917"/>
    </row>
    <row r="47" spans="1:13" ht="12.75" customHeight="1">
      <c r="A47" s="224"/>
      <c r="B47" s="224"/>
      <c r="C47" s="224"/>
      <c r="D47" s="224"/>
      <c r="I47" s="917" t="s">
        <v>90</v>
      </c>
      <c r="J47" s="917"/>
    </row>
    <row r="48" spans="1:13">
      <c r="A48" s="224" t="s">
        <v>12</v>
      </c>
      <c r="C48" s="224"/>
      <c r="D48" s="224"/>
      <c r="J48" s="226" t="s">
        <v>87</v>
      </c>
    </row>
  </sheetData>
  <mergeCells count="12">
    <mergeCell ref="I47:J47"/>
    <mergeCell ref="I5:J5"/>
    <mergeCell ref="J6:J7"/>
    <mergeCell ref="A1:H1"/>
    <mergeCell ref="I45:J45"/>
    <mergeCell ref="I46:J46"/>
    <mergeCell ref="A2:J2"/>
    <mergeCell ref="A4:I4"/>
    <mergeCell ref="A6:A7"/>
    <mergeCell ref="B6:B7"/>
    <mergeCell ref="C6:E6"/>
    <mergeCell ref="F6:I6"/>
  </mergeCells>
  <printOptions horizontalCentered="1"/>
  <pageMargins left="0.70866141732283472" right="0.70866141732283472" top="0.23622047244094491" bottom="0" header="0.31496062992125984" footer="0.31496062992125984"/>
  <pageSetup paperSize="9" scale="81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31"/>
  <sheetViews>
    <sheetView view="pageBreakPreview" zoomScale="96" zoomScaleSheetLayoutView="96" workbookViewId="0">
      <selection activeCell="G37" sqref="G37"/>
    </sheetView>
  </sheetViews>
  <sheetFormatPr defaultRowHeight="12.75"/>
  <cols>
    <col min="1" max="1" width="5.28515625" style="224" customWidth="1"/>
    <col min="2" max="2" width="8.5703125" style="224" customWidth="1"/>
    <col min="3" max="3" width="32.140625" style="224" customWidth="1"/>
    <col min="4" max="4" width="15.140625" style="224" customWidth="1"/>
    <col min="5" max="6" width="11.7109375" style="224" customWidth="1"/>
    <col min="7" max="7" width="13.7109375" style="224" customWidth="1"/>
    <col min="8" max="8" width="20.140625" style="224" customWidth="1"/>
    <col min="9" max="16384" width="9.140625" style="224"/>
  </cols>
  <sheetData>
    <row r="1" spans="1:8">
      <c r="A1" s="224" t="s">
        <v>11</v>
      </c>
      <c r="H1" s="240" t="s">
        <v>556</v>
      </c>
    </row>
    <row r="2" spans="1:8" s="228" customFormat="1" ht="15.75">
      <c r="A2" s="954" t="s">
        <v>0</v>
      </c>
      <c r="B2" s="954"/>
      <c r="C2" s="954"/>
      <c r="D2" s="954"/>
      <c r="E2" s="954"/>
      <c r="F2" s="954"/>
      <c r="G2" s="954"/>
      <c r="H2" s="954"/>
    </row>
    <row r="3" spans="1:8" s="228" customFormat="1" ht="20.25" customHeight="1">
      <c r="A3" s="955" t="s">
        <v>705</v>
      </c>
      <c r="B3" s="955"/>
      <c r="C3" s="955"/>
      <c r="D3" s="955"/>
      <c r="E3" s="955"/>
      <c r="F3" s="955"/>
      <c r="G3" s="955"/>
      <c r="H3" s="955"/>
    </row>
    <row r="5" spans="1:8" s="228" customFormat="1" ht="15.75">
      <c r="A5" s="1021" t="s">
        <v>555</v>
      </c>
      <c r="B5" s="1021"/>
      <c r="C5" s="1021"/>
      <c r="D5" s="1021"/>
      <c r="E5" s="1021"/>
      <c r="F5" s="1021"/>
      <c r="G5" s="1021"/>
      <c r="H5" s="1022"/>
    </row>
    <row r="7" spans="1:8">
      <c r="A7" s="229" t="s">
        <v>922</v>
      </c>
      <c r="B7" s="229"/>
      <c r="C7" s="230"/>
      <c r="D7" s="231"/>
      <c r="E7" s="231"/>
      <c r="F7" s="231"/>
      <c r="G7" s="231"/>
    </row>
    <row r="9" spans="1:8" ht="13.9" customHeight="1">
      <c r="A9" s="241"/>
      <c r="B9" s="241"/>
      <c r="C9" s="241"/>
      <c r="D9" s="241"/>
      <c r="E9" s="241"/>
      <c r="F9" s="241"/>
      <c r="G9" s="241"/>
    </row>
    <row r="10" spans="1:8" s="232" customFormat="1">
      <c r="A10" s="224"/>
      <c r="B10" s="224"/>
      <c r="C10" s="224"/>
      <c r="D10" s="224"/>
      <c r="E10" s="224"/>
      <c r="F10" s="224"/>
      <c r="G10" s="224"/>
      <c r="H10" s="137"/>
    </row>
    <row r="11" spans="1:8" s="232" customFormat="1" ht="39.75" customHeight="1">
      <c r="A11" s="233"/>
      <c r="B11" s="1016" t="s">
        <v>284</v>
      </c>
      <c r="C11" s="1016" t="s">
        <v>285</v>
      </c>
      <c r="D11" s="1024" t="s">
        <v>286</v>
      </c>
      <c r="E11" s="1025"/>
      <c r="F11" s="1025"/>
      <c r="G11" s="1026"/>
      <c r="H11" s="1016" t="s">
        <v>81</v>
      </c>
    </row>
    <row r="12" spans="1:8" s="232" customFormat="1" ht="25.5">
      <c r="A12" s="234"/>
      <c r="B12" s="1017"/>
      <c r="C12" s="1017"/>
      <c r="D12" s="242" t="s">
        <v>287</v>
      </c>
      <c r="E12" s="242" t="s">
        <v>288</v>
      </c>
      <c r="F12" s="242" t="s">
        <v>289</v>
      </c>
      <c r="G12" s="242" t="s">
        <v>19</v>
      </c>
      <c r="H12" s="1017"/>
    </row>
    <row r="13" spans="1:8" s="232" customFormat="1" ht="15">
      <c r="A13" s="234"/>
      <c r="B13" s="243" t="s">
        <v>264</v>
      </c>
      <c r="C13" s="243" t="s">
        <v>265</v>
      </c>
      <c r="D13" s="243" t="s">
        <v>266</v>
      </c>
      <c r="E13" s="243" t="s">
        <v>267</v>
      </c>
      <c r="F13" s="243" t="s">
        <v>268</v>
      </c>
      <c r="G13" s="243" t="s">
        <v>269</v>
      </c>
      <c r="H13" s="243" t="s">
        <v>270</v>
      </c>
    </row>
    <row r="14" spans="1:8" s="244" customFormat="1" ht="15" customHeight="1">
      <c r="B14" s="245" t="s">
        <v>32</v>
      </c>
      <c r="C14" s="1018" t="s">
        <v>293</v>
      </c>
      <c r="D14" s="1019"/>
      <c r="E14" s="1019"/>
      <c r="F14" s="1019"/>
      <c r="G14" s="1019"/>
      <c r="H14" s="1020"/>
    </row>
    <row r="15" spans="1:8" s="247" customFormat="1">
      <c r="B15" s="246"/>
      <c r="C15" s="474" t="s">
        <v>965</v>
      </c>
      <c r="D15" s="245">
        <v>10</v>
      </c>
      <c r="E15" s="245">
        <v>0</v>
      </c>
      <c r="F15" s="245">
        <v>0</v>
      </c>
      <c r="G15" s="245">
        <v>10</v>
      </c>
      <c r="H15" s="246"/>
    </row>
    <row r="16" spans="1:8" ht="14.25">
      <c r="A16" s="237"/>
      <c r="B16" s="156"/>
      <c r="C16" s="248"/>
      <c r="D16" s="156"/>
      <c r="E16" s="156"/>
      <c r="F16" s="156"/>
      <c r="G16" s="156"/>
      <c r="H16" s="156"/>
    </row>
    <row r="17" spans="1:8">
      <c r="B17" s="236"/>
      <c r="C17" s="248"/>
      <c r="D17" s="236"/>
      <c r="E17" s="157"/>
      <c r="F17" s="157"/>
      <c r="G17" s="157"/>
      <c r="H17" s="156"/>
    </row>
    <row r="18" spans="1:8" s="151" customFormat="1">
      <c r="B18" s="156"/>
      <c r="C18" s="248"/>
      <c r="D18" s="156"/>
      <c r="E18" s="156"/>
      <c r="F18" s="156"/>
      <c r="G18" s="156"/>
      <c r="H18" s="154"/>
    </row>
    <row r="19" spans="1:8" s="151" customFormat="1">
      <c r="B19" s="156"/>
      <c r="C19" s="248"/>
      <c r="D19" s="156"/>
      <c r="E19" s="156"/>
      <c r="F19" s="156"/>
      <c r="G19" s="156"/>
      <c r="H19" s="154"/>
    </row>
    <row r="20" spans="1:8" s="151" customFormat="1">
      <c r="B20" s="156"/>
      <c r="C20" s="248"/>
      <c r="D20" s="156"/>
      <c r="E20" s="156"/>
      <c r="F20" s="156"/>
      <c r="G20" s="156"/>
      <c r="H20" s="154"/>
    </row>
    <row r="21" spans="1:8" s="151" customFormat="1" ht="21.75" customHeight="1">
      <c r="B21" s="245" t="s">
        <v>36</v>
      </c>
      <c r="C21" s="1018" t="s">
        <v>466</v>
      </c>
      <c r="D21" s="1019"/>
      <c r="E21" s="1019"/>
      <c r="F21" s="1019"/>
      <c r="G21" s="1019"/>
      <c r="H21" s="1020"/>
    </row>
    <row r="22" spans="1:8" s="151" customFormat="1">
      <c r="A22" s="239" t="s">
        <v>283</v>
      </c>
      <c r="B22" s="238"/>
      <c r="C22" s="474" t="s">
        <v>965</v>
      </c>
      <c r="D22" s="451">
        <v>11</v>
      </c>
      <c r="E22" s="451">
        <v>66</v>
      </c>
      <c r="F22" s="451">
        <v>306</v>
      </c>
      <c r="G22" s="451">
        <f>SUM(D22:F22)</f>
        <v>383</v>
      </c>
      <c r="H22" s="154"/>
    </row>
    <row r="23" spans="1:8">
      <c r="B23" s="156"/>
      <c r="C23" s="248"/>
      <c r="D23" s="156"/>
      <c r="E23" s="156"/>
      <c r="F23" s="156"/>
      <c r="G23" s="156"/>
      <c r="H23" s="156"/>
    </row>
    <row r="24" spans="1:8">
      <c r="B24" s="156"/>
      <c r="C24" s="248"/>
      <c r="D24" s="156"/>
      <c r="E24" s="156"/>
      <c r="F24" s="156"/>
      <c r="G24" s="156"/>
      <c r="H24" s="156"/>
    </row>
    <row r="25" spans="1:8">
      <c r="B25" s="156"/>
      <c r="C25" s="248"/>
      <c r="D25" s="156"/>
      <c r="E25" s="156"/>
      <c r="F25" s="156"/>
      <c r="G25" s="156"/>
      <c r="H25" s="156"/>
    </row>
    <row r="26" spans="1:8">
      <c r="B26" s="156"/>
      <c r="C26" s="248"/>
      <c r="D26" s="156"/>
      <c r="E26" s="156"/>
      <c r="F26" s="156"/>
      <c r="G26" s="156"/>
      <c r="H26" s="156"/>
    </row>
    <row r="27" spans="1:8">
      <c r="B27" s="156"/>
      <c r="C27" s="156"/>
      <c r="D27" s="156"/>
      <c r="E27" s="156"/>
      <c r="F27" s="156"/>
      <c r="G27" s="156"/>
      <c r="H27" s="156"/>
    </row>
    <row r="28" spans="1:8" ht="12.75" customHeight="1">
      <c r="D28" s="1023" t="s">
        <v>13</v>
      </c>
      <c r="E28" s="1023"/>
      <c r="F28" s="1023"/>
      <c r="G28" s="1023"/>
    </row>
    <row r="29" spans="1:8" ht="12.75" customHeight="1">
      <c r="D29" s="917" t="s">
        <v>14</v>
      </c>
      <c r="E29" s="917"/>
      <c r="F29" s="917"/>
      <c r="G29" s="917"/>
    </row>
    <row r="30" spans="1:8" ht="12.75" customHeight="1">
      <c r="D30" s="917" t="s">
        <v>90</v>
      </c>
      <c r="E30" s="917"/>
      <c r="F30" s="917"/>
      <c r="G30" s="917"/>
    </row>
    <row r="31" spans="1:8">
      <c r="B31" s="224" t="s">
        <v>12</v>
      </c>
      <c r="E31" s="224" t="s">
        <v>856</v>
      </c>
    </row>
  </sheetData>
  <mergeCells count="12">
    <mergeCell ref="D28:G28"/>
    <mergeCell ref="D29:G29"/>
    <mergeCell ref="D30:G30"/>
    <mergeCell ref="B11:B12"/>
    <mergeCell ref="C11:C12"/>
    <mergeCell ref="D11:G11"/>
    <mergeCell ref="H11:H12"/>
    <mergeCell ref="C14:H14"/>
    <mergeCell ref="C21:H21"/>
    <mergeCell ref="A2:H2"/>
    <mergeCell ref="A3:H3"/>
    <mergeCell ref="A5:H5"/>
  </mergeCells>
  <printOptions horizontalCentered="1"/>
  <pageMargins left="0.70866141732283472" right="0.70866141732283472" top="0.23622047244094491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50"/>
  <sheetViews>
    <sheetView view="pageBreakPreview" topLeftCell="B13" zoomScaleSheetLayoutView="100" workbookViewId="0">
      <selection activeCell="E46" sqref="E46"/>
    </sheetView>
  </sheetViews>
  <sheetFormatPr defaultRowHeight="12.75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  <col min="11" max="11" width="11.140625" bestFit="1" customWidth="1"/>
  </cols>
  <sheetData>
    <row r="1" spans="1:11" ht="18">
      <c r="A1" s="919" t="s">
        <v>0</v>
      </c>
      <c r="B1" s="919"/>
      <c r="C1" s="919"/>
      <c r="D1" s="919"/>
      <c r="E1" s="919"/>
      <c r="F1" s="919"/>
      <c r="H1" s="215" t="s">
        <v>647</v>
      </c>
    </row>
    <row r="2" spans="1:11" ht="21">
      <c r="A2" s="920" t="s">
        <v>705</v>
      </c>
      <c r="B2" s="920"/>
      <c r="C2" s="920"/>
      <c r="D2" s="920"/>
      <c r="E2" s="920"/>
      <c r="F2" s="920"/>
      <c r="G2" s="920"/>
    </row>
    <row r="3" spans="1:11" ht="15">
      <c r="A3" s="217"/>
      <c r="B3" s="217"/>
    </row>
    <row r="4" spans="1:11" ht="18" customHeight="1">
      <c r="A4" s="921" t="s">
        <v>648</v>
      </c>
      <c r="B4" s="921"/>
      <c r="C4" s="921"/>
      <c r="D4" s="921"/>
      <c r="E4" s="921"/>
      <c r="F4" s="921"/>
      <c r="G4" s="921"/>
    </row>
    <row r="5" spans="1:11" ht="15">
      <c r="A5" s="218" t="s">
        <v>922</v>
      </c>
      <c r="B5" s="218"/>
    </row>
    <row r="6" spans="1:11" ht="15">
      <c r="A6" s="218"/>
      <c r="B6" s="218"/>
      <c r="F6" s="922" t="s">
        <v>784</v>
      </c>
      <c r="G6" s="922"/>
      <c r="H6" s="922"/>
    </row>
    <row r="7" spans="1:11" ht="59.25" customHeight="1">
      <c r="A7" s="219" t="s">
        <v>2</v>
      </c>
      <c r="B7" s="330" t="s">
        <v>3</v>
      </c>
      <c r="C7" s="335" t="s">
        <v>649</v>
      </c>
      <c r="D7" s="335" t="s">
        <v>650</v>
      </c>
      <c r="E7" s="335" t="s">
        <v>651</v>
      </c>
      <c r="F7" s="335" t="s">
        <v>652</v>
      </c>
      <c r="G7" s="373" t="s">
        <v>707</v>
      </c>
      <c r="H7" s="316" t="s">
        <v>877</v>
      </c>
    </row>
    <row r="8" spans="1:11" s="215" customFormat="1" ht="15">
      <c r="A8" s="221" t="s">
        <v>264</v>
      </c>
      <c r="B8" s="221" t="s">
        <v>265</v>
      </c>
      <c r="C8" s="221" t="s">
        <v>266</v>
      </c>
      <c r="D8" s="221" t="s">
        <v>267</v>
      </c>
      <c r="E8" s="221" t="s">
        <v>268</v>
      </c>
      <c r="F8" s="221" t="s">
        <v>269</v>
      </c>
      <c r="G8" s="374">
        <v>7</v>
      </c>
      <c r="H8" s="256">
        <v>8</v>
      </c>
    </row>
    <row r="9" spans="1:11" s="215" customFormat="1" ht="15.75">
      <c r="A9" s="448">
        <v>1</v>
      </c>
      <c r="B9" s="19" t="s">
        <v>889</v>
      </c>
      <c r="C9" s="489">
        <v>1891</v>
      </c>
      <c r="D9" s="491">
        <f>C9</f>
        <v>1891</v>
      </c>
      <c r="E9" s="489">
        <v>50</v>
      </c>
      <c r="F9" s="489">
        <v>30</v>
      </c>
      <c r="G9" s="491">
        <f>D9</f>
        <v>1891</v>
      </c>
      <c r="H9" s="256"/>
      <c r="J9" s="490"/>
      <c r="K9" s="490"/>
    </row>
    <row r="10" spans="1:11" s="215" customFormat="1" ht="15.75">
      <c r="A10" s="448">
        <v>2</v>
      </c>
      <c r="B10" s="19" t="s">
        <v>890</v>
      </c>
      <c r="C10" s="489">
        <v>2873</v>
      </c>
      <c r="D10" s="491">
        <f t="shared" ref="D10:D42" si="0">C10</f>
        <v>2873</v>
      </c>
      <c r="E10" s="489">
        <v>70</v>
      </c>
      <c r="F10" s="489">
        <v>10</v>
      </c>
      <c r="G10" s="491">
        <f t="shared" ref="G10:G42" si="1">D10</f>
        <v>2873</v>
      </c>
      <c r="H10" s="256"/>
      <c r="J10" s="490"/>
      <c r="K10" s="490"/>
    </row>
    <row r="11" spans="1:11" s="215" customFormat="1" ht="15.75">
      <c r="A11" s="448">
        <v>3</v>
      </c>
      <c r="B11" s="19" t="s">
        <v>891</v>
      </c>
      <c r="C11" s="489">
        <v>2683</v>
      </c>
      <c r="D11" s="491">
        <f t="shared" si="0"/>
        <v>2683</v>
      </c>
      <c r="E11" s="489">
        <v>17</v>
      </c>
      <c r="F11" s="489">
        <v>11</v>
      </c>
      <c r="G11" s="491">
        <f t="shared" si="1"/>
        <v>2683</v>
      </c>
      <c r="H11" s="256"/>
      <c r="J11" s="490"/>
      <c r="K11" s="490"/>
    </row>
    <row r="12" spans="1:11" s="215" customFormat="1" ht="15.75">
      <c r="A12" s="448">
        <v>4</v>
      </c>
      <c r="B12" s="19" t="s">
        <v>892</v>
      </c>
      <c r="C12" s="489">
        <v>1315</v>
      </c>
      <c r="D12" s="491">
        <f t="shared" si="0"/>
        <v>1315</v>
      </c>
      <c r="E12" s="489">
        <v>0</v>
      </c>
      <c r="F12" s="489">
        <v>0</v>
      </c>
      <c r="G12" s="491">
        <f t="shared" si="1"/>
        <v>1315</v>
      </c>
      <c r="H12" s="256"/>
      <c r="J12" s="490"/>
      <c r="K12" s="490"/>
    </row>
    <row r="13" spans="1:11" s="215" customFormat="1" ht="15.75">
      <c r="A13" s="448">
        <v>5</v>
      </c>
      <c r="B13" s="19" t="s">
        <v>893</v>
      </c>
      <c r="C13" s="489">
        <v>4902</v>
      </c>
      <c r="D13" s="491">
        <f t="shared" si="0"/>
        <v>4902</v>
      </c>
      <c r="E13" s="489">
        <v>73</v>
      </c>
      <c r="F13" s="489">
        <v>55</v>
      </c>
      <c r="G13" s="491">
        <f t="shared" si="1"/>
        <v>4902</v>
      </c>
      <c r="H13" s="256"/>
      <c r="J13" s="490"/>
      <c r="K13" s="490"/>
    </row>
    <row r="14" spans="1:11" s="215" customFormat="1" ht="15.75">
      <c r="A14" s="448">
        <v>6</v>
      </c>
      <c r="B14" s="19" t="s">
        <v>894</v>
      </c>
      <c r="C14" s="489">
        <v>1748</v>
      </c>
      <c r="D14" s="491">
        <f t="shared" si="0"/>
        <v>1748</v>
      </c>
      <c r="E14" s="489">
        <v>50</v>
      </c>
      <c r="F14" s="489">
        <v>50</v>
      </c>
      <c r="G14" s="491">
        <f t="shared" si="1"/>
        <v>1748</v>
      </c>
      <c r="H14" s="256"/>
      <c r="J14" s="490"/>
      <c r="K14" s="490"/>
    </row>
    <row r="15" spans="1:11" s="215" customFormat="1" ht="15.75">
      <c r="A15" s="448">
        <v>7</v>
      </c>
      <c r="B15" s="19" t="s">
        <v>895</v>
      </c>
      <c r="C15" s="489">
        <v>2911</v>
      </c>
      <c r="D15" s="491">
        <f t="shared" si="0"/>
        <v>2911</v>
      </c>
      <c r="E15" s="489">
        <v>62</v>
      </c>
      <c r="F15" s="489">
        <v>42</v>
      </c>
      <c r="G15" s="491">
        <f t="shared" si="1"/>
        <v>2911</v>
      </c>
      <c r="H15" s="256"/>
      <c r="J15" s="490"/>
      <c r="K15" s="490"/>
    </row>
    <row r="16" spans="1:11" s="215" customFormat="1" ht="15.75">
      <c r="A16" s="448">
        <v>8</v>
      </c>
      <c r="B16" s="19" t="s">
        <v>896</v>
      </c>
      <c r="C16" s="489">
        <v>1975</v>
      </c>
      <c r="D16" s="491">
        <f t="shared" si="0"/>
        <v>1975</v>
      </c>
      <c r="E16" s="489">
        <v>45</v>
      </c>
      <c r="F16" s="489">
        <v>38</v>
      </c>
      <c r="G16" s="491">
        <f t="shared" si="1"/>
        <v>1975</v>
      </c>
      <c r="H16" s="256"/>
      <c r="J16" s="490"/>
      <c r="K16" s="490"/>
    </row>
    <row r="17" spans="1:13" ht="15">
      <c r="A17" s="448">
        <v>9</v>
      </c>
      <c r="B17" s="19" t="s">
        <v>897</v>
      </c>
      <c r="C17" s="299">
        <v>1280</v>
      </c>
      <c r="D17" s="491">
        <f t="shared" si="0"/>
        <v>1280</v>
      </c>
      <c r="E17" s="299">
        <v>0</v>
      </c>
      <c r="F17" s="299">
        <v>0</v>
      </c>
      <c r="G17" s="491">
        <f t="shared" si="1"/>
        <v>1280</v>
      </c>
      <c r="H17" s="9"/>
      <c r="I17" s="215"/>
      <c r="J17" s="490"/>
      <c r="K17" s="490"/>
      <c r="L17" s="215"/>
      <c r="M17" s="215"/>
    </row>
    <row r="18" spans="1:13" ht="15">
      <c r="A18" s="448">
        <v>10</v>
      </c>
      <c r="B18" s="19" t="s">
        <v>898</v>
      </c>
      <c r="C18" s="299">
        <v>1832</v>
      </c>
      <c r="D18" s="491">
        <f t="shared" si="0"/>
        <v>1832</v>
      </c>
      <c r="E18" s="299">
        <v>0</v>
      </c>
      <c r="F18" s="299">
        <v>0</v>
      </c>
      <c r="G18" s="491">
        <f t="shared" si="1"/>
        <v>1832</v>
      </c>
      <c r="H18" s="9"/>
      <c r="I18" s="215"/>
      <c r="J18" s="490"/>
      <c r="K18" s="490"/>
      <c r="L18" s="215"/>
      <c r="M18" s="215"/>
    </row>
    <row r="19" spans="1:13" ht="15">
      <c r="A19" s="448">
        <v>11</v>
      </c>
      <c r="B19" s="19" t="s">
        <v>899</v>
      </c>
      <c r="C19" s="299">
        <v>1414</v>
      </c>
      <c r="D19" s="491">
        <f t="shared" si="0"/>
        <v>1414</v>
      </c>
      <c r="E19" s="299">
        <v>32</v>
      </c>
      <c r="F19" s="299">
        <v>34</v>
      </c>
      <c r="G19" s="491">
        <f t="shared" si="1"/>
        <v>1414</v>
      </c>
      <c r="H19" s="9"/>
      <c r="I19" s="215"/>
      <c r="J19" s="490"/>
      <c r="K19" s="490"/>
      <c r="L19" s="215"/>
      <c r="M19" s="215"/>
    </row>
    <row r="20" spans="1:13" ht="15">
      <c r="A20" s="448">
        <v>12</v>
      </c>
      <c r="B20" s="19" t="s">
        <v>900</v>
      </c>
      <c r="C20" s="299">
        <v>1534</v>
      </c>
      <c r="D20" s="491">
        <f t="shared" si="0"/>
        <v>1534</v>
      </c>
      <c r="E20" s="299">
        <v>0</v>
      </c>
      <c r="F20" s="299">
        <v>0</v>
      </c>
      <c r="G20" s="491">
        <f t="shared" si="1"/>
        <v>1534</v>
      </c>
      <c r="H20" s="9"/>
      <c r="I20" s="215"/>
      <c r="J20" s="490"/>
      <c r="K20" s="490"/>
      <c r="L20" s="215"/>
      <c r="M20" s="215"/>
    </row>
    <row r="21" spans="1:13" ht="15">
      <c r="A21" s="448">
        <v>13</v>
      </c>
      <c r="B21" s="19" t="s">
        <v>901</v>
      </c>
      <c r="C21" s="299">
        <v>1150</v>
      </c>
      <c r="D21" s="491">
        <f t="shared" si="0"/>
        <v>1150</v>
      </c>
      <c r="E21" s="299">
        <v>0</v>
      </c>
      <c r="F21" s="299">
        <v>0</v>
      </c>
      <c r="G21" s="491">
        <f t="shared" si="1"/>
        <v>1150</v>
      </c>
      <c r="H21" s="9"/>
      <c r="I21" s="215"/>
      <c r="J21" s="490"/>
      <c r="K21" s="490"/>
      <c r="L21" s="215"/>
      <c r="M21" s="215"/>
    </row>
    <row r="22" spans="1:13" ht="15">
      <c r="A22" s="448">
        <v>14</v>
      </c>
      <c r="B22" s="19" t="s">
        <v>902</v>
      </c>
      <c r="C22" s="299">
        <v>2239</v>
      </c>
      <c r="D22" s="491">
        <f t="shared" si="0"/>
        <v>2239</v>
      </c>
      <c r="E22" s="299">
        <v>28</v>
      </c>
      <c r="F22" s="299">
        <v>59</v>
      </c>
      <c r="G22" s="491">
        <f t="shared" si="1"/>
        <v>2239</v>
      </c>
      <c r="H22" s="9"/>
      <c r="I22" s="215"/>
      <c r="J22" s="490"/>
      <c r="K22" s="490"/>
      <c r="L22" s="215"/>
      <c r="M22" s="215"/>
    </row>
    <row r="23" spans="1:13" ht="15">
      <c r="A23" s="448">
        <v>15</v>
      </c>
      <c r="B23" s="19" t="s">
        <v>903</v>
      </c>
      <c r="C23" s="299">
        <v>1924</v>
      </c>
      <c r="D23" s="491">
        <f t="shared" si="0"/>
        <v>1924</v>
      </c>
      <c r="E23" s="299">
        <v>18</v>
      </c>
      <c r="F23" s="299">
        <v>72</v>
      </c>
      <c r="G23" s="491">
        <f t="shared" si="1"/>
        <v>1924</v>
      </c>
      <c r="H23" s="9"/>
      <c r="I23" s="215"/>
      <c r="J23" s="490"/>
      <c r="K23" s="490"/>
      <c r="L23" s="215"/>
      <c r="M23" s="215"/>
    </row>
    <row r="24" spans="1:13" ht="15">
      <c r="A24" s="448">
        <v>16</v>
      </c>
      <c r="B24" s="19" t="s">
        <v>904</v>
      </c>
      <c r="C24" s="299">
        <v>1094</v>
      </c>
      <c r="D24" s="491">
        <f t="shared" si="0"/>
        <v>1094</v>
      </c>
      <c r="E24" s="299">
        <v>0</v>
      </c>
      <c r="F24" s="299">
        <v>0</v>
      </c>
      <c r="G24" s="491">
        <f t="shared" si="1"/>
        <v>1094</v>
      </c>
      <c r="H24" s="9"/>
      <c r="I24" s="215"/>
      <c r="J24" s="490"/>
      <c r="K24" s="490"/>
      <c r="L24" s="215"/>
      <c r="M24" s="215"/>
    </row>
    <row r="25" spans="1:13" ht="15">
      <c r="A25" s="448">
        <v>17</v>
      </c>
      <c r="B25" s="19" t="s">
        <v>905</v>
      </c>
      <c r="C25" s="299">
        <v>3651</v>
      </c>
      <c r="D25" s="491">
        <f t="shared" si="0"/>
        <v>3651</v>
      </c>
      <c r="E25" s="299">
        <v>34</v>
      </c>
      <c r="F25" s="299">
        <v>125</v>
      </c>
      <c r="G25" s="491">
        <f t="shared" si="1"/>
        <v>3651</v>
      </c>
      <c r="H25" s="9"/>
      <c r="I25" s="215"/>
      <c r="J25" s="490"/>
      <c r="K25" s="490"/>
      <c r="L25" s="215"/>
      <c r="M25" s="215"/>
    </row>
    <row r="26" spans="1:13" ht="15">
      <c r="A26" s="448">
        <v>18</v>
      </c>
      <c r="B26" s="19" t="s">
        <v>906</v>
      </c>
      <c r="C26" s="299">
        <v>1280</v>
      </c>
      <c r="D26" s="491">
        <f t="shared" si="0"/>
        <v>1280</v>
      </c>
      <c r="E26" s="299">
        <v>0</v>
      </c>
      <c r="F26" s="299">
        <v>0</v>
      </c>
      <c r="G26" s="491">
        <f t="shared" si="1"/>
        <v>1280</v>
      </c>
      <c r="H26" s="9"/>
      <c r="I26" s="215"/>
      <c r="J26" s="490"/>
      <c r="K26" s="490"/>
      <c r="L26" s="215"/>
      <c r="M26" s="215"/>
    </row>
    <row r="27" spans="1:13" ht="15">
      <c r="A27" s="448">
        <v>19</v>
      </c>
      <c r="B27" s="19" t="s">
        <v>907</v>
      </c>
      <c r="C27" s="299">
        <v>1908</v>
      </c>
      <c r="D27" s="491">
        <f t="shared" si="0"/>
        <v>1908</v>
      </c>
      <c r="E27" s="299">
        <v>95</v>
      </c>
      <c r="F27" s="299">
        <v>73</v>
      </c>
      <c r="G27" s="491">
        <f t="shared" si="1"/>
        <v>1908</v>
      </c>
      <c r="H27" s="9"/>
      <c r="I27" s="215"/>
      <c r="J27" s="490"/>
      <c r="K27" s="490"/>
      <c r="L27" s="215"/>
      <c r="M27" s="215"/>
    </row>
    <row r="28" spans="1:13" ht="15">
      <c r="A28" s="448">
        <v>20</v>
      </c>
      <c r="B28" s="19" t="s">
        <v>908</v>
      </c>
      <c r="C28" s="299">
        <v>1754</v>
      </c>
      <c r="D28" s="491">
        <f t="shared" si="0"/>
        <v>1754</v>
      </c>
      <c r="E28" s="299">
        <v>43</v>
      </c>
      <c r="F28" s="299">
        <v>153</v>
      </c>
      <c r="G28" s="491">
        <f t="shared" si="1"/>
        <v>1754</v>
      </c>
      <c r="H28" s="9"/>
      <c r="I28" s="215"/>
      <c r="J28" s="490"/>
      <c r="K28" s="490"/>
      <c r="L28" s="215"/>
      <c r="M28" s="215"/>
    </row>
    <row r="29" spans="1:13" ht="15">
      <c r="A29" s="448">
        <v>21</v>
      </c>
      <c r="B29" s="19" t="s">
        <v>909</v>
      </c>
      <c r="C29" s="299">
        <v>1554</v>
      </c>
      <c r="D29" s="491">
        <f t="shared" si="0"/>
        <v>1554</v>
      </c>
      <c r="E29" s="299">
        <v>0</v>
      </c>
      <c r="F29" s="299">
        <v>0</v>
      </c>
      <c r="G29" s="491">
        <f t="shared" si="1"/>
        <v>1554</v>
      </c>
      <c r="H29" s="9"/>
      <c r="I29" s="215"/>
      <c r="J29" s="490"/>
      <c r="K29" s="490"/>
      <c r="L29" s="215"/>
      <c r="M29" s="215"/>
    </row>
    <row r="30" spans="1:13" ht="15">
      <c r="A30" s="448">
        <v>22</v>
      </c>
      <c r="B30" s="19" t="s">
        <v>910</v>
      </c>
      <c r="C30" s="299">
        <v>3507</v>
      </c>
      <c r="D30" s="491">
        <f t="shared" si="0"/>
        <v>3507</v>
      </c>
      <c r="E30" s="299">
        <v>0</v>
      </c>
      <c r="F30" s="299">
        <v>0</v>
      </c>
      <c r="G30" s="491">
        <f t="shared" si="1"/>
        <v>3507</v>
      </c>
      <c r="H30" s="9"/>
      <c r="I30" s="215"/>
      <c r="J30" s="490"/>
      <c r="K30" s="490"/>
      <c r="L30" s="215"/>
      <c r="M30" s="215"/>
    </row>
    <row r="31" spans="1:13" ht="15">
      <c r="A31" s="448">
        <v>23</v>
      </c>
      <c r="B31" s="19" t="s">
        <v>911</v>
      </c>
      <c r="C31" s="299">
        <v>1413</v>
      </c>
      <c r="D31" s="491">
        <f t="shared" si="0"/>
        <v>1413</v>
      </c>
      <c r="E31" s="299">
        <v>0</v>
      </c>
      <c r="F31" s="299">
        <v>0</v>
      </c>
      <c r="G31" s="491">
        <f t="shared" si="1"/>
        <v>1413</v>
      </c>
      <c r="H31" s="9"/>
      <c r="I31" s="215"/>
      <c r="J31" s="490"/>
      <c r="K31" s="490"/>
      <c r="L31" s="215"/>
      <c r="M31" s="215"/>
    </row>
    <row r="32" spans="1:13" ht="15">
      <c r="A32" s="448">
        <v>24</v>
      </c>
      <c r="B32" s="19" t="s">
        <v>912</v>
      </c>
      <c r="C32" s="299">
        <v>1146</v>
      </c>
      <c r="D32" s="491">
        <f t="shared" si="0"/>
        <v>1146</v>
      </c>
      <c r="E32" s="299">
        <v>0</v>
      </c>
      <c r="F32" s="299">
        <v>0</v>
      </c>
      <c r="G32" s="491">
        <f t="shared" si="1"/>
        <v>1146</v>
      </c>
      <c r="H32" s="9"/>
      <c r="I32" s="215"/>
      <c r="J32" s="490"/>
      <c r="K32" s="490"/>
      <c r="L32" s="215"/>
      <c r="M32" s="215"/>
    </row>
    <row r="33" spans="1:13" ht="15">
      <c r="A33" s="448">
        <v>25</v>
      </c>
      <c r="B33" s="19" t="s">
        <v>913</v>
      </c>
      <c r="C33" s="299">
        <v>3117</v>
      </c>
      <c r="D33" s="491">
        <f t="shared" si="0"/>
        <v>3117</v>
      </c>
      <c r="E33" s="299">
        <v>55</v>
      </c>
      <c r="F33" s="299">
        <v>59</v>
      </c>
      <c r="G33" s="491">
        <f t="shared" si="1"/>
        <v>3117</v>
      </c>
      <c r="H33" s="9"/>
      <c r="I33" s="215"/>
      <c r="J33" s="490"/>
      <c r="K33" s="490"/>
      <c r="L33" s="215"/>
      <c r="M33" s="215"/>
    </row>
    <row r="34" spans="1:13" ht="15">
      <c r="A34" s="448">
        <v>26</v>
      </c>
      <c r="B34" s="19" t="s">
        <v>914</v>
      </c>
      <c r="C34" s="299">
        <v>1811</v>
      </c>
      <c r="D34" s="491">
        <f t="shared" si="0"/>
        <v>1811</v>
      </c>
      <c r="E34" s="299">
        <v>0</v>
      </c>
      <c r="F34" s="299">
        <v>0</v>
      </c>
      <c r="G34" s="491">
        <f t="shared" si="1"/>
        <v>1811</v>
      </c>
      <c r="H34" s="9"/>
      <c r="I34" s="215"/>
      <c r="J34" s="490"/>
      <c r="K34" s="490"/>
      <c r="L34" s="215"/>
      <c r="M34" s="215"/>
    </row>
    <row r="35" spans="1:13" ht="15">
      <c r="A35" s="448">
        <v>27</v>
      </c>
      <c r="B35" s="19" t="s">
        <v>915</v>
      </c>
      <c r="C35" s="299">
        <v>1355</v>
      </c>
      <c r="D35" s="491">
        <f t="shared" si="0"/>
        <v>1355</v>
      </c>
      <c r="E35" s="299">
        <v>0</v>
      </c>
      <c r="F35" s="299">
        <v>0</v>
      </c>
      <c r="G35" s="491">
        <f t="shared" si="1"/>
        <v>1355</v>
      </c>
      <c r="H35" s="9"/>
      <c r="I35" s="215"/>
      <c r="J35" s="490"/>
      <c r="K35" s="490"/>
      <c r="L35" s="215"/>
      <c r="M35" s="215"/>
    </row>
    <row r="36" spans="1:13" ht="15">
      <c r="A36" s="448">
        <v>28</v>
      </c>
      <c r="B36" s="19" t="s">
        <v>916</v>
      </c>
      <c r="C36" s="299">
        <v>1687</v>
      </c>
      <c r="D36" s="491">
        <f t="shared" si="0"/>
        <v>1687</v>
      </c>
      <c r="E36" s="299">
        <v>23</v>
      </c>
      <c r="F36" s="299">
        <v>25</v>
      </c>
      <c r="G36" s="491">
        <f t="shared" si="1"/>
        <v>1687</v>
      </c>
      <c r="H36" s="9"/>
      <c r="I36" s="215"/>
      <c r="J36" s="490"/>
      <c r="K36" s="490"/>
      <c r="L36" s="215"/>
      <c r="M36" s="215"/>
    </row>
    <row r="37" spans="1:13" ht="15">
      <c r="A37" s="448">
        <v>29</v>
      </c>
      <c r="B37" s="19" t="s">
        <v>917</v>
      </c>
      <c r="C37" s="299">
        <v>1123</v>
      </c>
      <c r="D37" s="491">
        <f t="shared" si="0"/>
        <v>1123</v>
      </c>
      <c r="E37" s="299">
        <v>8</v>
      </c>
      <c r="F37" s="299">
        <v>25</v>
      </c>
      <c r="G37" s="491">
        <f t="shared" si="1"/>
        <v>1123</v>
      </c>
      <c r="H37" s="9"/>
      <c r="I37" s="215"/>
      <c r="J37" s="490"/>
      <c r="K37" s="490"/>
      <c r="L37" s="215"/>
      <c r="M37" s="215"/>
    </row>
    <row r="38" spans="1:13" ht="15">
      <c r="A38" s="448">
        <v>30</v>
      </c>
      <c r="B38" s="19" t="s">
        <v>918</v>
      </c>
      <c r="C38" s="299">
        <v>1945</v>
      </c>
      <c r="D38" s="491">
        <f t="shared" si="0"/>
        <v>1945</v>
      </c>
      <c r="E38" s="299">
        <v>0</v>
      </c>
      <c r="F38" s="299">
        <v>0</v>
      </c>
      <c r="G38" s="491">
        <f t="shared" si="1"/>
        <v>1945</v>
      </c>
      <c r="H38" s="9"/>
      <c r="I38" s="215"/>
      <c r="J38" s="490"/>
      <c r="K38" s="490"/>
      <c r="L38" s="215"/>
      <c r="M38" s="215"/>
    </row>
    <row r="39" spans="1:13" ht="15">
      <c r="A39" s="448">
        <v>31</v>
      </c>
      <c r="B39" s="19" t="s">
        <v>919</v>
      </c>
      <c r="C39" s="299">
        <v>929</v>
      </c>
      <c r="D39" s="491">
        <f t="shared" si="0"/>
        <v>929</v>
      </c>
      <c r="E39" s="299">
        <v>0</v>
      </c>
      <c r="F39" s="299">
        <v>0</v>
      </c>
      <c r="G39" s="491">
        <f t="shared" si="1"/>
        <v>929</v>
      </c>
      <c r="H39" s="9"/>
      <c r="I39" s="215"/>
      <c r="J39" s="490"/>
      <c r="K39" s="490"/>
      <c r="L39" s="215"/>
      <c r="M39" s="215"/>
    </row>
    <row r="40" spans="1:13" ht="15">
      <c r="A40" s="448">
        <v>32</v>
      </c>
      <c r="B40" s="19" t="s">
        <v>920</v>
      </c>
      <c r="C40" s="299">
        <v>1575</v>
      </c>
      <c r="D40" s="491">
        <f t="shared" si="0"/>
        <v>1575</v>
      </c>
      <c r="E40" s="299">
        <v>0</v>
      </c>
      <c r="F40" s="299">
        <v>0</v>
      </c>
      <c r="G40" s="491">
        <f t="shared" si="1"/>
        <v>1575</v>
      </c>
      <c r="H40" s="9"/>
      <c r="I40" s="215"/>
      <c r="J40" s="490"/>
      <c r="K40" s="490"/>
      <c r="L40" s="215"/>
      <c r="M40" s="215"/>
    </row>
    <row r="41" spans="1:13" ht="15">
      <c r="A41" s="448">
        <v>33</v>
      </c>
      <c r="B41" s="19" t="s">
        <v>921</v>
      </c>
      <c r="C41" s="299">
        <v>3973</v>
      </c>
      <c r="D41" s="491">
        <f t="shared" si="0"/>
        <v>3973</v>
      </c>
      <c r="E41" s="299">
        <v>112</v>
      </c>
      <c r="F41" s="299">
        <v>159</v>
      </c>
      <c r="G41" s="491">
        <f t="shared" si="1"/>
        <v>3973</v>
      </c>
      <c r="H41" s="9"/>
      <c r="I41" s="215"/>
      <c r="J41" s="490"/>
      <c r="K41" s="490"/>
      <c r="L41" s="215"/>
      <c r="M41" s="215"/>
    </row>
    <row r="42" spans="1:13" ht="15">
      <c r="A42" s="30" t="s">
        <v>19</v>
      </c>
      <c r="B42" s="30" t="s">
        <v>19</v>
      </c>
      <c r="C42" s="8">
        <f>SUM(C9:C41)</f>
        <v>66493</v>
      </c>
      <c r="D42" s="491">
        <f t="shared" si="0"/>
        <v>66493</v>
      </c>
      <c r="E42" s="8">
        <f t="shared" ref="E42:F42" si="2">SUM(E9:E41)</f>
        <v>815</v>
      </c>
      <c r="F42" s="8">
        <f t="shared" si="2"/>
        <v>1020</v>
      </c>
      <c r="G42" s="491">
        <f t="shared" si="1"/>
        <v>66493</v>
      </c>
      <c r="H42" s="9"/>
      <c r="I42" s="215"/>
      <c r="J42" s="490"/>
      <c r="K42" s="490"/>
      <c r="L42" s="215"/>
      <c r="M42" s="215"/>
    </row>
    <row r="43" spans="1:13">
      <c r="A43" s="223"/>
    </row>
    <row r="46" spans="1:13" ht="15" customHeight="1">
      <c r="A46" s="336"/>
      <c r="B46" s="336"/>
      <c r="C46" s="336"/>
      <c r="D46" s="336"/>
      <c r="E46" s="336"/>
      <c r="F46" s="943" t="s">
        <v>13</v>
      </c>
      <c r="G46" s="943"/>
      <c r="H46" s="337"/>
      <c r="I46" s="337"/>
    </row>
    <row r="47" spans="1:13" ht="15" customHeight="1">
      <c r="A47" s="336"/>
      <c r="B47" s="336"/>
      <c r="C47" s="336"/>
      <c r="D47" s="336"/>
      <c r="E47" s="336"/>
      <c r="F47" s="943" t="s">
        <v>14</v>
      </c>
      <c r="G47" s="943"/>
      <c r="H47" s="337"/>
      <c r="I47" s="337"/>
    </row>
    <row r="48" spans="1:13" ht="15" customHeight="1">
      <c r="A48" s="336"/>
      <c r="B48" s="336"/>
      <c r="C48" s="336"/>
      <c r="D48" s="336"/>
      <c r="E48" s="336"/>
      <c r="F48" s="1028" t="s">
        <v>90</v>
      </c>
      <c r="G48" s="1028"/>
      <c r="H48" s="1028"/>
      <c r="I48" s="1028"/>
    </row>
    <row r="49" spans="1:13">
      <c r="A49" s="336" t="s">
        <v>12</v>
      </c>
      <c r="C49" s="336"/>
      <c r="D49" s="336"/>
      <c r="E49" s="336"/>
      <c r="F49" s="1027" t="s">
        <v>87</v>
      </c>
      <c r="G49" s="1027"/>
      <c r="H49" s="336"/>
      <c r="I49" s="336"/>
    </row>
    <row r="50" spans="1:13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</row>
  </sheetData>
  <mergeCells count="8">
    <mergeCell ref="F49:G49"/>
    <mergeCell ref="A1:F1"/>
    <mergeCell ref="A2:G2"/>
    <mergeCell ref="A4:G4"/>
    <mergeCell ref="F46:G46"/>
    <mergeCell ref="F47:G47"/>
    <mergeCell ref="F48:I48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50"/>
  <sheetViews>
    <sheetView view="pageBreakPreview" topLeftCell="A10" zoomScaleSheetLayoutView="100" workbookViewId="0">
      <selection activeCell="D44" sqref="D44"/>
    </sheetView>
  </sheetViews>
  <sheetFormatPr defaultRowHeight="12.75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15.7109375" customWidth="1"/>
    <col min="6" max="6" width="16.28515625" customWidth="1"/>
    <col min="7" max="7" width="22" customWidth="1"/>
    <col min="8" max="8" width="17.42578125" customWidth="1"/>
  </cols>
  <sheetData>
    <row r="1" spans="1:8" ht="18">
      <c r="A1" s="919" t="s">
        <v>0</v>
      </c>
      <c r="B1" s="919"/>
      <c r="C1" s="919"/>
      <c r="D1" s="919"/>
      <c r="E1" s="919"/>
      <c r="F1" s="919"/>
      <c r="H1" s="215" t="s">
        <v>878</v>
      </c>
    </row>
    <row r="2" spans="1:8" ht="21">
      <c r="A2" s="920" t="s">
        <v>705</v>
      </c>
      <c r="B2" s="920"/>
      <c r="C2" s="920"/>
      <c r="D2" s="920"/>
      <c r="E2" s="920"/>
      <c r="F2" s="920"/>
      <c r="G2" s="920"/>
    </row>
    <row r="3" spans="1:8" ht="15">
      <c r="A3" s="217"/>
      <c r="B3" s="217"/>
    </row>
    <row r="4" spans="1:8" ht="18" customHeight="1">
      <c r="A4" s="921" t="s">
        <v>879</v>
      </c>
      <c r="B4" s="921"/>
      <c r="C4" s="921"/>
      <c r="D4" s="921"/>
      <c r="E4" s="921"/>
      <c r="F4" s="921"/>
      <c r="G4" s="921"/>
    </row>
    <row r="5" spans="1:8" ht="15">
      <c r="A5" s="218" t="s">
        <v>922</v>
      </c>
      <c r="B5" s="218"/>
    </row>
    <row r="6" spans="1:8" ht="15">
      <c r="A6" s="218"/>
      <c r="B6" s="218"/>
      <c r="F6" s="922" t="s">
        <v>784</v>
      </c>
      <c r="G6" s="922"/>
      <c r="H6" s="922"/>
    </row>
    <row r="7" spans="1:8" ht="59.25" customHeight="1">
      <c r="A7" s="330" t="s">
        <v>2</v>
      </c>
      <c r="B7" s="330" t="s">
        <v>3</v>
      </c>
      <c r="C7" s="335" t="s">
        <v>880</v>
      </c>
      <c r="D7" s="335" t="s">
        <v>881</v>
      </c>
      <c r="E7" s="335" t="s">
        <v>882</v>
      </c>
      <c r="F7" s="335" t="s">
        <v>883</v>
      </c>
      <c r="G7" s="373" t="s">
        <v>884</v>
      </c>
      <c r="H7" s="316" t="s">
        <v>885</v>
      </c>
    </row>
    <row r="8" spans="1:8" s="215" customFormat="1" ht="15">
      <c r="A8" s="221" t="s">
        <v>264</v>
      </c>
      <c r="B8" s="221" t="s">
        <v>265</v>
      </c>
      <c r="C8" s="221" t="s">
        <v>266</v>
      </c>
      <c r="D8" s="221" t="s">
        <v>267</v>
      </c>
      <c r="E8" s="221" t="s">
        <v>268</v>
      </c>
      <c r="F8" s="221" t="s">
        <v>269</v>
      </c>
      <c r="G8" s="374" t="s">
        <v>270</v>
      </c>
      <c r="H8" s="256">
        <v>8</v>
      </c>
    </row>
    <row r="9" spans="1:8" s="215" customFormat="1" ht="15.75">
      <c r="A9" s="448">
        <v>1</v>
      </c>
      <c r="B9" s="19" t="s">
        <v>889</v>
      </c>
      <c r="C9" s="8">
        <v>3613</v>
      </c>
      <c r="D9" s="567">
        <v>0</v>
      </c>
      <c r="E9" s="567">
        <v>0</v>
      </c>
      <c r="F9" s="567">
        <v>0</v>
      </c>
      <c r="G9" s="568" t="s">
        <v>983</v>
      </c>
      <c r="H9" s="256" t="s">
        <v>983</v>
      </c>
    </row>
    <row r="10" spans="1:8" s="215" customFormat="1" ht="15.75">
      <c r="A10" s="448">
        <v>2</v>
      </c>
      <c r="B10" s="19" t="s">
        <v>890</v>
      </c>
      <c r="C10" s="8">
        <v>4730</v>
      </c>
      <c r="D10" s="567">
        <v>0</v>
      </c>
      <c r="E10" s="567">
        <v>0</v>
      </c>
      <c r="F10" s="567">
        <v>0</v>
      </c>
      <c r="G10" s="568" t="s">
        <v>983</v>
      </c>
      <c r="H10" s="256" t="s">
        <v>983</v>
      </c>
    </row>
    <row r="11" spans="1:8" s="215" customFormat="1" ht="15.75">
      <c r="A11" s="448">
        <v>3</v>
      </c>
      <c r="B11" s="19" t="s">
        <v>891</v>
      </c>
      <c r="C11" s="8">
        <v>4327</v>
      </c>
      <c r="D11" s="567">
        <v>0</v>
      </c>
      <c r="E11" s="567">
        <v>0</v>
      </c>
      <c r="F11" s="567">
        <v>0</v>
      </c>
      <c r="G11" s="568" t="s">
        <v>983</v>
      </c>
      <c r="H11" s="256" t="s">
        <v>983</v>
      </c>
    </row>
    <row r="12" spans="1:8" s="215" customFormat="1" ht="15.75">
      <c r="A12" s="448">
        <v>4</v>
      </c>
      <c r="B12" s="19" t="s">
        <v>892</v>
      </c>
      <c r="C12" s="8">
        <v>2057</v>
      </c>
      <c r="D12" s="567">
        <v>0</v>
      </c>
      <c r="E12" s="567">
        <v>0</v>
      </c>
      <c r="F12" s="567">
        <v>0</v>
      </c>
      <c r="G12" s="568" t="s">
        <v>983</v>
      </c>
      <c r="H12" s="256" t="s">
        <v>983</v>
      </c>
    </row>
    <row r="13" spans="1:8" s="215" customFormat="1" ht="15.75">
      <c r="A13" s="448">
        <v>5</v>
      </c>
      <c r="B13" s="19" t="s">
        <v>893</v>
      </c>
      <c r="C13" s="8">
        <v>8171</v>
      </c>
      <c r="D13" s="567">
        <v>0</v>
      </c>
      <c r="E13" s="567">
        <v>0</v>
      </c>
      <c r="F13" s="567">
        <v>0</v>
      </c>
      <c r="G13" s="568" t="s">
        <v>983</v>
      </c>
      <c r="H13" s="256" t="s">
        <v>983</v>
      </c>
    </row>
    <row r="14" spans="1:8" s="215" customFormat="1" ht="15.75">
      <c r="A14" s="448">
        <v>6</v>
      </c>
      <c r="B14" s="19" t="s">
        <v>894</v>
      </c>
      <c r="C14" s="8">
        <v>3364</v>
      </c>
      <c r="D14" s="567">
        <v>0</v>
      </c>
      <c r="E14" s="567">
        <v>0</v>
      </c>
      <c r="F14" s="567">
        <v>0</v>
      </c>
      <c r="G14" s="568" t="s">
        <v>983</v>
      </c>
      <c r="H14" s="256" t="s">
        <v>983</v>
      </c>
    </row>
    <row r="15" spans="1:8" s="215" customFormat="1" ht="15.75">
      <c r="A15" s="448">
        <v>7</v>
      </c>
      <c r="B15" s="19" t="s">
        <v>895</v>
      </c>
      <c r="C15" s="8">
        <v>5071</v>
      </c>
      <c r="D15" s="567">
        <v>0</v>
      </c>
      <c r="E15" s="567">
        <v>0</v>
      </c>
      <c r="F15" s="567">
        <v>0</v>
      </c>
      <c r="G15" s="568" t="s">
        <v>983</v>
      </c>
      <c r="H15" s="256" t="s">
        <v>983</v>
      </c>
    </row>
    <row r="16" spans="1:8" s="215" customFormat="1" ht="15.75">
      <c r="A16" s="448">
        <v>8</v>
      </c>
      <c r="B16" s="19" t="s">
        <v>896</v>
      </c>
      <c r="C16" s="8">
        <v>3516</v>
      </c>
      <c r="D16" s="567">
        <v>0</v>
      </c>
      <c r="E16" s="567">
        <v>0</v>
      </c>
      <c r="F16" s="567">
        <v>0</v>
      </c>
      <c r="G16" s="568" t="s">
        <v>983</v>
      </c>
      <c r="H16" s="256" t="s">
        <v>983</v>
      </c>
    </row>
    <row r="17" spans="1:8">
      <c r="A17" s="448">
        <v>9</v>
      </c>
      <c r="B17" s="19" t="s">
        <v>897</v>
      </c>
      <c r="C17" s="8">
        <v>2200</v>
      </c>
      <c r="D17" s="483">
        <v>0</v>
      </c>
      <c r="E17" s="483">
        <v>0</v>
      </c>
      <c r="F17" s="483">
        <v>0</v>
      </c>
      <c r="G17" s="569" t="s">
        <v>983</v>
      </c>
      <c r="H17" s="8" t="s">
        <v>983</v>
      </c>
    </row>
    <row r="18" spans="1:8">
      <c r="A18" s="448">
        <v>10</v>
      </c>
      <c r="B18" s="19" t="s">
        <v>898</v>
      </c>
      <c r="C18" s="8">
        <v>3183</v>
      </c>
      <c r="D18" s="483">
        <v>0</v>
      </c>
      <c r="E18" s="483">
        <v>0</v>
      </c>
      <c r="F18" s="483">
        <v>0</v>
      </c>
      <c r="G18" s="503" t="s">
        <v>983</v>
      </c>
      <c r="H18" s="8" t="s">
        <v>983</v>
      </c>
    </row>
    <row r="19" spans="1:8">
      <c r="A19" s="448">
        <v>11</v>
      </c>
      <c r="B19" s="19" t="s">
        <v>899</v>
      </c>
      <c r="C19" s="8">
        <v>2426</v>
      </c>
      <c r="D19" s="483">
        <v>0</v>
      </c>
      <c r="E19" s="483">
        <v>0</v>
      </c>
      <c r="F19" s="483">
        <v>0</v>
      </c>
      <c r="G19" s="569" t="s">
        <v>983</v>
      </c>
      <c r="H19" s="8" t="s">
        <v>983</v>
      </c>
    </row>
    <row r="20" spans="1:8">
      <c r="A20" s="448">
        <v>12</v>
      </c>
      <c r="B20" s="19" t="s">
        <v>900</v>
      </c>
      <c r="C20" s="8">
        <v>2870</v>
      </c>
      <c r="D20" s="483">
        <v>0</v>
      </c>
      <c r="E20" s="483">
        <v>0</v>
      </c>
      <c r="F20" s="483">
        <v>0</v>
      </c>
      <c r="G20" s="569" t="s">
        <v>983</v>
      </c>
      <c r="H20" s="8" t="s">
        <v>983</v>
      </c>
    </row>
    <row r="21" spans="1:8">
      <c r="A21" s="448">
        <v>13</v>
      </c>
      <c r="B21" s="19" t="s">
        <v>901</v>
      </c>
      <c r="C21" s="8">
        <v>2542</v>
      </c>
      <c r="D21" s="483">
        <v>0</v>
      </c>
      <c r="E21" s="483">
        <v>0</v>
      </c>
      <c r="F21" s="483">
        <v>0</v>
      </c>
      <c r="G21" s="569" t="s">
        <v>983</v>
      </c>
      <c r="H21" s="8" t="s">
        <v>983</v>
      </c>
    </row>
    <row r="22" spans="1:8">
      <c r="A22" s="448">
        <v>14</v>
      </c>
      <c r="B22" s="19" t="s">
        <v>902</v>
      </c>
      <c r="C22" s="8">
        <v>3679</v>
      </c>
      <c r="D22" s="483">
        <v>0</v>
      </c>
      <c r="E22" s="483">
        <v>0</v>
      </c>
      <c r="F22" s="483">
        <v>0</v>
      </c>
      <c r="G22" s="569" t="s">
        <v>983</v>
      </c>
      <c r="H22" s="8" t="s">
        <v>983</v>
      </c>
    </row>
    <row r="23" spans="1:8">
      <c r="A23" s="448">
        <v>15</v>
      </c>
      <c r="B23" s="19" t="s">
        <v>903</v>
      </c>
      <c r="C23" s="8">
        <v>3115</v>
      </c>
      <c r="D23" s="483">
        <v>0</v>
      </c>
      <c r="E23" s="483">
        <v>0</v>
      </c>
      <c r="F23" s="483">
        <v>0</v>
      </c>
      <c r="G23" s="569" t="s">
        <v>983</v>
      </c>
      <c r="H23" s="8" t="s">
        <v>983</v>
      </c>
    </row>
    <row r="24" spans="1:8">
      <c r="A24" s="448">
        <v>16</v>
      </c>
      <c r="B24" s="19" t="s">
        <v>904</v>
      </c>
      <c r="C24" s="8">
        <v>2147</v>
      </c>
      <c r="D24" s="483">
        <v>0</v>
      </c>
      <c r="E24" s="483">
        <v>0</v>
      </c>
      <c r="F24" s="483">
        <v>0</v>
      </c>
      <c r="G24" s="569" t="s">
        <v>983</v>
      </c>
      <c r="H24" s="8" t="s">
        <v>983</v>
      </c>
    </row>
    <row r="25" spans="1:8">
      <c r="A25" s="448">
        <v>17</v>
      </c>
      <c r="B25" s="19" t="s">
        <v>905</v>
      </c>
      <c r="C25" s="8">
        <v>3188</v>
      </c>
      <c r="D25" s="483">
        <v>0</v>
      </c>
      <c r="E25" s="483">
        <v>0</v>
      </c>
      <c r="F25" s="483">
        <v>0</v>
      </c>
      <c r="G25" s="569" t="s">
        <v>983</v>
      </c>
      <c r="H25" s="8" t="s">
        <v>983</v>
      </c>
    </row>
    <row r="26" spans="1:8">
      <c r="A26" s="448">
        <v>18</v>
      </c>
      <c r="B26" s="19" t="s">
        <v>906</v>
      </c>
      <c r="C26" s="8">
        <v>2020</v>
      </c>
      <c r="D26" s="483">
        <v>0</v>
      </c>
      <c r="E26" s="483">
        <v>0</v>
      </c>
      <c r="F26" s="483">
        <v>0</v>
      </c>
      <c r="G26" s="569" t="s">
        <v>983</v>
      </c>
      <c r="H26" s="8" t="s">
        <v>983</v>
      </c>
    </row>
    <row r="27" spans="1:8">
      <c r="A27" s="448">
        <v>19</v>
      </c>
      <c r="B27" s="19" t="s">
        <v>907</v>
      </c>
      <c r="C27" s="8">
        <v>3679</v>
      </c>
      <c r="D27" s="483">
        <v>0</v>
      </c>
      <c r="E27" s="483">
        <v>0</v>
      </c>
      <c r="F27" s="483">
        <v>0</v>
      </c>
      <c r="G27" s="569" t="s">
        <v>983</v>
      </c>
      <c r="H27" s="8" t="s">
        <v>983</v>
      </c>
    </row>
    <row r="28" spans="1:8">
      <c r="A28" s="448">
        <v>20</v>
      </c>
      <c r="B28" s="19" t="s">
        <v>908</v>
      </c>
      <c r="C28" s="8">
        <v>2937</v>
      </c>
      <c r="D28" s="483">
        <v>0</v>
      </c>
      <c r="E28" s="483">
        <v>0</v>
      </c>
      <c r="F28" s="483">
        <v>0</v>
      </c>
      <c r="G28" s="569" t="s">
        <v>983</v>
      </c>
      <c r="H28" s="8" t="s">
        <v>983</v>
      </c>
    </row>
    <row r="29" spans="1:8">
      <c r="A29" s="448">
        <v>21</v>
      </c>
      <c r="B29" s="19" t="s">
        <v>909</v>
      </c>
      <c r="C29" s="8">
        <v>2467</v>
      </c>
      <c r="D29" s="483">
        <v>0</v>
      </c>
      <c r="E29" s="483">
        <v>0</v>
      </c>
      <c r="F29" s="483">
        <v>0</v>
      </c>
      <c r="G29" s="569" t="s">
        <v>983</v>
      </c>
      <c r="H29" s="8" t="s">
        <v>983</v>
      </c>
    </row>
    <row r="30" spans="1:8">
      <c r="A30" s="448">
        <v>22</v>
      </c>
      <c r="B30" s="19" t="s">
        <v>910</v>
      </c>
      <c r="C30" s="8">
        <v>5065</v>
      </c>
      <c r="D30" s="483">
        <v>0</v>
      </c>
      <c r="E30" s="483">
        <v>0</v>
      </c>
      <c r="F30" s="483">
        <v>0</v>
      </c>
      <c r="G30" s="569" t="s">
        <v>983</v>
      </c>
      <c r="H30" s="8" t="s">
        <v>983</v>
      </c>
    </row>
    <row r="31" spans="1:8">
      <c r="A31" s="448">
        <v>23</v>
      </c>
      <c r="B31" s="19" t="s">
        <v>911</v>
      </c>
      <c r="C31" s="8">
        <v>2052</v>
      </c>
      <c r="D31" s="483">
        <v>0</v>
      </c>
      <c r="E31" s="483">
        <v>0</v>
      </c>
      <c r="F31" s="483">
        <v>0</v>
      </c>
      <c r="G31" s="569" t="s">
        <v>983</v>
      </c>
      <c r="H31" s="8" t="s">
        <v>983</v>
      </c>
    </row>
    <row r="32" spans="1:8">
      <c r="A32" s="448">
        <v>24</v>
      </c>
      <c r="B32" s="19" t="s">
        <v>912</v>
      </c>
      <c r="C32" s="8">
        <v>2047</v>
      </c>
      <c r="D32" s="483">
        <v>0</v>
      </c>
      <c r="E32" s="483">
        <v>0</v>
      </c>
      <c r="F32" s="483">
        <v>0</v>
      </c>
      <c r="G32" s="569" t="s">
        <v>983</v>
      </c>
      <c r="H32" s="8" t="s">
        <v>983</v>
      </c>
    </row>
    <row r="33" spans="1:9">
      <c r="A33" s="448">
        <v>25</v>
      </c>
      <c r="B33" s="19" t="s">
        <v>913</v>
      </c>
      <c r="C33" s="8">
        <v>5389</v>
      </c>
      <c r="D33" s="483">
        <v>0</v>
      </c>
      <c r="E33" s="483">
        <v>0</v>
      </c>
      <c r="F33" s="483">
        <v>0</v>
      </c>
      <c r="G33" s="569" t="s">
        <v>983</v>
      </c>
      <c r="H33" s="8" t="s">
        <v>983</v>
      </c>
    </row>
    <row r="34" spans="1:9">
      <c r="A34" s="448">
        <v>26</v>
      </c>
      <c r="B34" s="19" t="s">
        <v>914</v>
      </c>
      <c r="C34" s="8">
        <v>3238</v>
      </c>
      <c r="D34" s="483">
        <v>0</v>
      </c>
      <c r="E34" s="483">
        <v>0</v>
      </c>
      <c r="F34" s="483">
        <v>0</v>
      </c>
      <c r="G34" s="569" t="s">
        <v>983</v>
      </c>
      <c r="H34" s="8" t="s">
        <v>983</v>
      </c>
    </row>
    <row r="35" spans="1:9">
      <c r="A35" s="448">
        <v>27</v>
      </c>
      <c r="B35" s="19" t="s">
        <v>915</v>
      </c>
      <c r="C35" s="8">
        <v>2305</v>
      </c>
      <c r="D35" s="483">
        <v>0</v>
      </c>
      <c r="E35" s="483">
        <v>0</v>
      </c>
      <c r="F35" s="483">
        <v>0</v>
      </c>
      <c r="G35" s="569" t="s">
        <v>983</v>
      </c>
      <c r="H35" s="8" t="s">
        <v>983</v>
      </c>
    </row>
    <row r="36" spans="1:9">
      <c r="A36" s="448">
        <v>28</v>
      </c>
      <c r="B36" s="19" t="s">
        <v>916</v>
      </c>
      <c r="C36" s="8">
        <v>2353</v>
      </c>
      <c r="D36" s="483">
        <v>0</v>
      </c>
      <c r="E36" s="483">
        <v>0</v>
      </c>
      <c r="F36" s="483">
        <v>0</v>
      </c>
      <c r="G36" s="569" t="s">
        <v>983</v>
      </c>
      <c r="H36" s="8" t="s">
        <v>983</v>
      </c>
    </row>
    <row r="37" spans="1:9">
      <c r="A37" s="448">
        <v>29</v>
      </c>
      <c r="B37" s="19" t="s">
        <v>917</v>
      </c>
      <c r="C37" s="8">
        <v>1869</v>
      </c>
      <c r="D37" s="483">
        <v>0</v>
      </c>
      <c r="E37" s="483">
        <v>0</v>
      </c>
      <c r="F37" s="483">
        <v>0</v>
      </c>
      <c r="G37" s="569" t="s">
        <v>983</v>
      </c>
      <c r="H37" s="8" t="s">
        <v>983</v>
      </c>
    </row>
    <row r="38" spans="1:9">
      <c r="A38" s="448">
        <v>30</v>
      </c>
      <c r="B38" s="19" t="s">
        <v>918</v>
      </c>
      <c r="C38" s="8">
        <v>3317</v>
      </c>
      <c r="D38" s="483">
        <v>0</v>
      </c>
      <c r="E38" s="483">
        <v>0</v>
      </c>
      <c r="F38" s="483">
        <v>0</v>
      </c>
      <c r="G38" s="569" t="s">
        <v>983</v>
      </c>
      <c r="H38" s="8" t="s">
        <v>983</v>
      </c>
    </row>
    <row r="39" spans="1:9">
      <c r="A39" s="448">
        <v>31</v>
      </c>
      <c r="B39" s="19" t="s">
        <v>919</v>
      </c>
      <c r="C39" s="8">
        <v>1707</v>
      </c>
      <c r="D39" s="483">
        <v>0</v>
      </c>
      <c r="E39" s="483">
        <v>0</v>
      </c>
      <c r="F39" s="483">
        <v>0</v>
      </c>
      <c r="G39" s="569" t="s">
        <v>983</v>
      </c>
      <c r="H39" s="8" t="s">
        <v>983</v>
      </c>
    </row>
    <row r="40" spans="1:9">
      <c r="A40" s="448">
        <v>32</v>
      </c>
      <c r="B40" s="19" t="s">
        <v>920</v>
      </c>
      <c r="C40" s="8">
        <v>2556</v>
      </c>
      <c r="D40" s="483">
        <v>0</v>
      </c>
      <c r="E40" s="483">
        <v>0</v>
      </c>
      <c r="F40" s="483">
        <v>0</v>
      </c>
      <c r="G40" s="569" t="s">
        <v>983</v>
      </c>
      <c r="H40" s="8" t="s">
        <v>983</v>
      </c>
    </row>
    <row r="41" spans="1:9">
      <c r="A41" s="448">
        <v>33</v>
      </c>
      <c r="B41" s="19" t="s">
        <v>921</v>
      </c>
      <c r="C41" s="8">
        <v>6722</v>
      </c>
      <c r="D41" s="483">
        <v>0</v>
      </c>
      <c r="E41" s="483">
        <v>0</v>
      </c>
      <c r="F41" s="483">
        <v>0</v>
      </c>
      <c r="G41" s="569" t="s">
        <v>983</v>
      </c>
      <c r="H41" s="8" t="s">
        <v>983</v>
      </c>
    </row>
    <row r="42" spans="1:9">
      <c r="A42" s="18" t="s">
        <v>7</v>
      </c>
      <c r="B42" s="30" t="s">
        <v>19</v>
      </c>
      <c r="C42" s="483">
        <v>109922</v>
      </c>
      <c r="D42" s="483">
        <v>0</v>
      </c>
      <c r="E42" s="483">
        <v>976</v>
      </c>
      <c r="F42" s="483">
        <v>0</v>
      </c>
      <c r="G42" s="569" t="s">
        <v>983</v>
      </c>
      <c r="H42" s="8" t="s">
        <v>983</v>
      </c>
    </row>
    <row r="43" spans="1:9">
      <c r="A43" s="223"/>
    </row>
    <row r="46" spans="1:9" ht="15" customHeight="1">
      <c r="A46" s="336"/>
      <c r="B46" s="336"/>
      <c r="C46" s="336"/>
      <c r="D46" s="336"/>
      <c r="E46" s="336"/>
      <c r="F46" s="943" t="s">
        <v>13</v>
      </c>
      <c r="G46" s="943"/>
      <c r="H46" s="337"/>
      <c r="I46" s="337"/>
    </row>
    <row r="47" spans="1:9" ht="15" customHeight="1">
      <c r="A47" s="336"/>
      <c r="B47" s="336"/>
      <c r="C47" s="336"/>
      <c r="D47" s="336"/>
      <c r="E47" s="336"/>
      <c r="F47" s="943" t="s">
        <v>14</v>
      </c>
      <c r="G47" s="943"/>
      <c r="H47" s="337"/>
      <c r="I47" s="337"/>
    </row>
    <row r="48" spans="1:9" ht="15" customHeight="1">
      <c r="A48" s="336"/>
      <c r="B48" s="336"/>
      <c r="C48" s="336"/>
      <c r="D48" s="336"/>
      <c r="E48" s="336"/>
      <c r="F48" s="1028" t="s">
        <v>90</v>
      </c>
      <c r="G48" s="1028"/>
      <c r="H48" s="1028"/>
      <c r="I48" s="1028"/>
    </row>
    <row r="49" spans="1:13">
      <c r="A49" s="336" t="s">
        <v>12</v>
      </c>
      <c r="C49" s="336"/>
      <c r="D49" s="336"/>
      <c r="E49" s="336"/>
      <c r="F49" s="1027" t="s">
        <v>87</v>
      </c>
      <c r="G49" s="1027"/>
      <c r="H49" s="336"/>
      <c r="I49" s="336"/>
    </row>
    <row r="50" spans="1:13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</row>
  </sheetData>
  <mergeCells count="8">
    <mergeCell ref="F48:I48"/>
    <mergeCell ref="F49:G49"/>
    <mergeCell ref="A1:F1"/>
    <mergeCell ref="A2:G2"/>
    <mergeCell ref="A4:G4"/>
    <mergeCell ref="F6:H6"/>
    <mergeCell ref="F46:G46"/>
    <mergeCell ref="F47:G47"/>
  </mergeCells>
  <printOptions horizontalCentered="1"/>
  <pageMargins left="0.70866141732283472" right="0.70866141732283472" top="0.23622047244094491" bottom="0" header="0.31496062992125984" footer="0.31496062992125984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34"/>
  <sheetViews>
    <sheetView view="pageBreakPreview" zoomScale="90" zoomScaleSheetLayoutView="90" workbookViewId="0">
      <selection activeCell="E28" sqref="E28"/>
    </sheetView>
  </sheetViews>
  <sheetFormatPr defaultRowHeight="12.75"/>
  <cols>
    <col min="1" max="1" width="10.28515625" customWidth="1"/>
    <col min="2" max="2" width="12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>
      <c r="D1" s="851"/>
      <c r="E1" s="851"/>
      <c r="H1" s="43"/>
      <c r="I1" s="926" t="s">
        <v>71</v>
      </c>
      <c r="J1" s="926"/>
    </row>
    <row r="2" spans="1:19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9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</row>
    <row r="4" spans="1:19" ht="10.5" customHeight="1"/>
    <row r="5" spans="1:19" s="15" customFormat="1" ht="24.75" customHeight="1">
      <c r="A5" s="1029" t="s">
        <v>438</v>
      </c>
      <c r="B5" s="1029"/>
      <c r="C5" s="1029"/>
      <c r="D5" s="1029"/>
      <c r="E5" s="1029"/>
      <c r="F5" s="1029"/>
      <c r="G5" s="1029"/>
      <c r="H5" s="1029"/>
      <c r="I5" s="1029"/>
      <c r="J5" s="1029"/>
      <c r="K5" s="1029"/>
    </row>
    <row r="6" spans="1:19" s="15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5" customFormat="1">
      <c r="A7" s="850" t="s">
        <v>922</v>
      </c>
      <c r="B7" s="850"/>
      <c r="E7" s="990"/>
      <c r="F7" s="990"/>
      <c r="G7" s="990"/>
      <c r="H7" s="990"/>
      <c r="I7" s="990" t="s">
        <v>786</v>
      </c>
      <c r="J7" s="990"/>
      <c r="K7" s="990"/>
    </row>
    <row r="8" spans="1:19" s="13" customFormat="1" ht="15.75" hidden="1">
      <c r="C8" s="932" t="s">
        <v>16</v>
      </c>
      <c r="D8" s="932"/>
      <c r="E8" s="932"/>
      <c r="F8" s="932"/>
      <c r="G8" s="932"/>
      <c r="H8" s="932"/>
      <c r="I8" s="932"/>
      <c r="J8" s="932"/>
    </row>
    <row r="9" spans="1:19" ht="44.25" customHeight="1">
      <c r="A9" s="924" t="s">
        <v>26</v>
      </c>
      <c r="B9" s="924" t="s">
        <v>61</v>
      </c>
      <c r="C9" s="829" t="s">
        <v>464</v>
      </c>
      <c r="D9" s="830"/>
      <c r="E9" s="829" t="s">
        <v>41</v>
      </c>
      <c r="F9" s="830"/>
      <c r="G9" s="829" t="s">
        <v>42</v>
      </c>
      <c r="H9" s="830"/>
      <c r="I9" s="844" t="s">
        <v>110</v>
      </c>
      <c r="J9" s="844"/>
      <c r="K9" s="924" t="s">
        <v>516</v>
      </c>
      <c r="R9" s="9"/>
      <c r="S9" s="12"/>
    </row>
    <row r="10" spans="1:19" s="14" customFormat="1" ht="42.6" customHeight="1">
      <c r="A10" s="925"/>
      <c r="B10" s="925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925"/>
    </row>
    <row r="11" spans="1:19">
      <c r="A11" s="160">
        <v>1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  <c r="G11" s="160">
        <v>7</v>
      </c>
      <c r="H11" s="160">
        <v>8</v>
      </c>
      <c r="I11" s="160">
        <v>9</v>
      </c>
      <c r="J11" s="160">
        <v>10</v>
      </c>
      <c r="K11" s="3">
        <v>11</v>
      </c>
    </row>
    <row r="12" spans="1:19" ht="15.75" customHeight="1">
      <c r="A12" s="8">
        <v>1</v>
      </c>
      <c r="B12" s="9" t="s">
        <v>377</v>
      </c>
      <c r="C12" s="9">
        <v>8083</v>
      </c>
      <c r="D12" s="9">
        <v>4849.58</v>
      </c>
      <c r="E12" s="9">
        <v>7310</v>
      </c>
      <c r="F12" s="9">
        <v>4532.62</v>
      </c>
      <c r="G12" s="9"/>
      <c r="H12" s="9"/>
      <c r="I12" s="9"/>
      <c r="J12" s="9"/>
      <c r="K12" s="9"/>
    </row>
    <row r="13" spans="1:19" ht="15.75" customHeight="1">
      <c r="A13" s="8">
        <v>2</v>
      </c>
      <c r="B13" s="9" t="s">
        <v>378</v>
      </c>
      <c r="C13" s="9">
        <v>2278</v>
      </c>
      <c r="D13" s="9">
        <v>1366.8</v>
      </c>
      <c r="E13" s="9">
        <v>3051</v>
      </c>
      <c r="F13" s="9">
        <v>1683.76</v>
      </c>
      <c r="G13" s="9"/>
      <c r="H13" s="9"/>
      <c r="I13" s="9"/>
      <c r="J13" s="9"/>
      <c r="K13" s="9"/>
    </row>
    <row r="14" spans="1:19" ht="15.75" customHeight="1">
      <c r="A14" s="8">
        <v>3</v>
      </c>
      <c r="B14" s="9" t="s">
        <v>379</v>
      </c>
      <c r="C14" s="9">
        <v>16782</v>
      </c>
      <c r="D14" s="9">
        <v>10069.200000000001</v>
      </c>
      <c r="E14" s="9">
        <v>16782</v>
      </c>
      <c r="F14" s="9">
        <v>10069.200000000001</v>
      </c>
      <c r="G14" s="9"/>
      <c r="H14" s="9"/>
      <c r="I14" s="9"/>
      <c r="J14" s="9"/>
      <c r="K14" s="9"/>
    </row>
    <row r="15" spans="1:19" ht="15.75" customHeight="1">
      <c r="A15" s="8">
        <v>4</v>
      </c>
      <c r="B15" s="9" t="s">
        <v>380</v>
      </c>
      <c r="C15" s="9">
        <v>40057</v>
      </c>
      <c r="D15" s="9">
        <v>24034.2</v>
      </c>
      <c r="E15" s="9">
        <v>12451</v>
      </c>
      <c r="F15" s="9">
        <v>7470.6</v>
      </c>
      <c r="G15" s="9"/>
      <c r="H15" s="9"/>
      <c r="I15" s="9"/>
      <c r="J15" s="9"/>
      <c r="K15" s="9"/>
    </row>
    <row r="16" spans="1:19" ht="15.75" customHeight="1">
      <c r="A16" s="8">
        <v>5</v>
      </c>
      <c r="B16" s="9" t="s">
        <v>381</v>
      </c>
      <c r="C16" s="9">
        <v>10098</v>
      </c>
      <c r="D16" s="9">
        <v>6816.15</v>
      </c>
      <c r="E16" s="9">
        <v>4448</v>
      </c>
      <c r="F16" s="9">
        <v>2668.8</v>
      </c>
      <c r="G16" s="9"/>
      <c r="H16" s="9"/>
      <c r="I16" s="9"/>
      <c r="J16" s="9"/>
      <c r="K16" s="9"/>
    </row>
    <row r="17" spans="1:16" ht="15.75" customHeight="1">
      <c r="A17" s="8">
        <v>6</v>
      </c>
      <c r="B17" s="9" t="s">
        <v>382</v>
      </c>
      <c r="C17" s="9">
        <v>0</v>
      </c>
      <c r="D17" s="9">
        <v>0</v>
      </c>
      <c r="E17" s="9">
        <v>507</v>
      </c>
      <c r="F17" s="9">
        <v>304.39999999999998</v>
      </c>
      <c r="G17" s="9"/>
      <c r="H17" s="9"/>
      <c r="I17" s="9"/>
      <c r="J17" s="9"/>
      <c r="K17" s="9"/>
    </row>
    <row r="18" spans="1:16" ht="15.75" customHeight="1">
      <c r="A18" s="8">
        <v>7</v>
      </c>
      <c r="B18" s="9" t="s">
        <v>383</v>
      </c>
      <c r="C18" s="9">
        <v>0</v>
      </c>
      <c r="D18" s="9">
        <v>0</v>
      </c>
      <c r="E18" s="9">
        <v>132</v>
      </c>
      <c r="F18" s="9">
        <v>90</v>
      </c>
      <c r="G18" s="9"/>
      <c r="H18" s="9"/>
      <c r="I18" s="9"/>
      <c r="J18" s="9"/>
      <c r="K18" s="9"/>
    </row>
    <row r="19" spans="1:16" s="12" customFormat="1" ht="15.75" customHeight="1">
      <c r="A19" s="8">
        <v>8</v>
      </c>
      <c r="B19" s="9" t="s">
        <v>255</v>
      </c>
      <c r="C19" s="9">
        <v>0</v>
      </c>
      <c r="D19" s="9">
        <v>0</v>
      </c>
      <c r="E19" s="9">
        <v>147</v>
      </c>
      <c r="F19" s="9">
        <v>98.82</v>
      </c>
      <c r="G19" s="9"/>
      <c r="H19" s="9"/>
      <c r="I19" s="9"/>
      <c r="J19" s="9"/>
      <c r="K19" s="9"/>
    </row>
    <row r="20" spans="1:16" s="12" customFormat="1" ht="15.75" customHeight="1">
      <c r="A20" s="8">
        <v>9</v>
      </c>
      <c r="B20" s="9" t="s">
        <v>359</v>
      </c>
      <c r="C20" s="9">
        <v>0</v>
      </c>
      <c r="D20" s="9">
        <v>0</v>
      </c>
      <c r="E20" s="9">
        <v>4635</v>
      </c>
      <c r="F20" s="9">
        <v>3663.33</v>
      </c>
      <c r="G20" s="9"/>
      <c r="H20" s="9"/>
      <c r="I20" s="9"/>
      <c r="J20" s="9"/>
      <c r="K20" s="9"/>
    </row>
    <row r="21" spans="1:16" s="12" customFormat="1" ht="15.75" customHeight="1">
      <c r="A21" s="8">
        <v>10</v>
      </c>
      <c r="B21" s="9" t="s">
        <v>515</v>
      </c>
      <c r="C21" s="9">
        <v>0</v>
      </c>
      <c r="D21" s="9">
        <v>0</v>
      </c>
      <c r="E21" s="9">
        <v>580</v>
      </c>
      <c r="F21" s="9">
        <v>365.33000000000004</v>
      </c>
      <c r="G21" s="9"/>
      <c r="H21" s="9"/>
      <c r="I21" s="9"/>
      <c r="J21" s="9"/>
      <c r="K21" s="9"/>
    </row>
    <row r="22" spans="1:16" s="12" customFormat="1" ht="15.75" customHeight="1">
      <c r="A22" s="8">
        <v>11</v>
      </c>
      <c r="B22" s="9" t="s">
        <v>476</v>
      </c>
      <c r="C22" s="9">
        <v>0</v>
      </c>
      <c r="D22" s="9">
        <v>0</v>
      </c>
      <c r="E22" s="9">
        <v>462</v>
      </c>
      <c r="F22" s="9">
        <v>294.20999999999998</v>
      </c>
      <c r="G22" s="9"/>
      <c r="H22" s="9"/>
      <c r="I22" s="9"/>
      <c r="J22" s="9"/>
      <c r="K22" s="9"/>
    </row>
    <row r="23" spans="1:16" s="12" customFormat="1" ht="15.75" customHeight="1">
      <c r="A23" s="8">
        <v>12</v>
      </c>
      <c r="B23" s="9" t="s">
        <v>514</v>
      </c>
      <c r="C23" s="9">
        <v>0</v>
      </c>
      <c r="D23" s="9">
        <v>0</v>
      </c>
      <c r="E23" s="9">
        <v>90</v>
      </c>
      <c r="F23" s="9">
        <v>54</v>
      </c>
      <c r="G23" s="9"/>
      <c r="H23" s="9"/>
      <c r="I23" s="9"/>
      <c r="J23" s="9"/>
      <c r="K23" s="9"/>
    </row>
    <row r="24" spans="1:16" s="12" customFormat="1" ht="15.75" customHeight="1">
      <c r="A24" s="8">
        <v>13</v>
      </c>
      <c r="B24" s="452" t="s">
        <v>693</v>
      </c>
      <c r="C24" s="9">
        <v>0</v>
      </c>
      <c r="D24" s="9">
        <v>0</v>
      </c>
      <c r="E24" s="9">
        <v>0</v>
      </c>
      <c r="F24" s="9">
        <v>0</v>
      </c>
      <c r="G24" s="9">
        <v>4143</v>
      </c>
      <c r="H24" s="9">
        <v>2451.02</v>
      </c>
      <c r="I24" s="9">
        <v>4867</v>
      </c>
      <c r="J24" s="9">
        <v>23361.599999999999</v>
      </c>
      <c r="K24" s="9"/>
    </row>
    <row r="25" spans="1:16" s="12" customFormat="1" ht="15.75" customHeight="1">
      <c r="A25" s="3" t="s">
        <v>19</v>
      </c>
      <c r="B25" s="9"/>
      <c r="C25" s="9">
        <f>SUM(C12:C24)</f>
        <v>77298</v>
      </c>
      <c r="D25" s="9">
        <f>SUM(D12:D24)</f>
        <v>47135.93</v>
      </c>
      <c r="E25" s="9">
        <v>50595</v>
      </c>
      <c r="F25" s="9">
        <v>31295.07</v>
      </c>
      <c r="G25" s="9">
        <f t="shared" ref="G25:J25" si="0">SUM(G12:G24)</f>
        <v>4143</v>
      </c>
      <c r="H25" s="9">
        <f t="shared" si="0"/>
        <v>2451.02</v>
      </c>
      <c r="I25" s="9">
        <f t="shared" si="0"/>
        <v>4867</v>
      </c>
      <c r="J25" s="9">
        <f t="shared" si="0"/>
        <v>23361.599999999999</v>
      </c>
      <c r="K25" s="9"/>
    </row>
    <row r="26" spans="1:16" s="12" customFormat="1">
      <c r="A26" s="10"/>
      <c r="M26" s="12">
        <f>E12+E13+E14+E15+E16</f>
        <v>44042</v>
      </c>
    </row>
    <row r="27" spans="1:16" s="12" customFormat="1">
      <c r="A27" s="10"/>
    </row>
    <row r="28" spans="1:16" s="12" customFormat="1">
      <c r="A28" s="10"/>
      <c r="E28" s="742"/>
    </row>
    <row r="29" spans="1:16" s="15" customFormat="1" ht="13.9" customHeight="1">
      <c r="B29" s="88"/>
      <c r="C29" s="88"/>
      <c r="D29" s="88"/>
      <c r="E29" s="88"/>
      <c r="F29" s="88"/>
      <c r="G29" s="88"/>
      <c r="H29" s="88"/>
      <c r="I29" s="866" t="s">
        <v>13</v>
      </c>
      <c r="J29" s="866"/>
      <c r="K29" s="88"/>
      <c r="L29" s="88"/>
      <c r="M29" s="88"/>
      <c r="N29" s="88"/>
      <c r="O29" s="88"/>
      <c r="P29" s="88"/>
    </row>
    <row r="30" spans="1:16" s="15" customFormat="1" ht="13.15" customHeight="1">
      <c r="A30" s="871" t="s">
        <v>14</v>
      </c>
      <c r="B30" s="871"/>
      <c r="C30" s="871"/>
      <c r="D30" s="871"/>
      <c r="E30" s="871"/>
      <c r="F30" s="871"/>
      <c r="G30" s="871"/>
      <c r="H30" s="871"/>
      <c r="I30" s="871"/>
      <c r="J30" s="871"/>
      <c r="K30" s="88"/>
      <c r="L30" s="88"/>
      <c r="M30" s="88"/>
      <c r="N30" s="88"/>
      <c r="O30" s="88"/>
      <c r="P30" s="88"/>
    </row>
    <row r="31" spans="1:16" s="15" customFormat="1" ht="13.15" customHeight="1">
      <c r="A31" s="871" t="s">
        <v>20</v>
      </c>
      <c r="B31" s="871"/>
      <c r="C31" s="871"/>
      <c r="D31" s="871"/>
      <c r="E31" s="871"/>
      <c r="F31" s="871"/>
      <c r="G31" s="871"/>
      <c r="H31" s="871"/>
      <c r="I31" s="871"/>
      <c r="J31" s="871"/>
      <c r="K31" s="88"/>
      <c r="L31" s="88"/>
      <c r="M31" s="88"/>
      <c r="N31" s="88"/>
      <c r="O31" s="88"/>
      <c r="P31" s="88"/>
    </row>
    <row r="32" spans="1:16" s="15" customFormat="1">
      <c r="A32" s="14" t="s">
        <v>23</v>
      </c>
      <c r="B32" s="14"/>
      <c r="C32" s="14"/>
      <c r="D32" s="14"/>
      <c r="E32" s="14"/>
      <c r="F32" s="14"/>
      <c r="H32" s="851" t="s">
        <v>24</v>
      </c>
      <c r="I32" s="851"/>
    </row>
    <row r="33" spans="1:10" s="15" customFormat="1">
      <c r="A33" s="14"/>
    </row>
    <row r="34" spans="1:10">
      <c r="A34" s="927"/>
      <c r="B34" s="927"/>
      <c r="C34" s="927"/>
      <c r="D34" s="927"/>
      <c r="E34" s="927"/>
      <c r="F34" s="927"/>
      <c r="G34" s="927"/>
      <c r="H34" s="927"/>
      <c r="I34" s="927"/>
      <c r="J34" s="927"/>
    </row>
  </sheetData>
  <mergeCells count="21">
    <mergeCell ref="K9:K10"/>
    <mergeCell ref="I29:J29"/>
    <mergeCell ref="A30:J30"/>
    <mergeCell ref="A31:J31"/>
    <mergeCell ref="H32:I32"/>
    <mergeCell ref="A34:J34"/>
    <mergeCell ref="C8:J8"/>
    <mergeCell ref="A9:A10"/>
    <mergeCell ref="B9:B10"/>
    <mergeCell ref="C9:D9"/>
    <mergeCell ref="E9:F9"/>
    <mergeCell ref="G9:H9"/>
    <mergeCell ref="I9:J9"/>
    <mergeCell ref="A7:B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S55"/>
  <sheetViews>
    <sheetView view="pageBreakPreview" topLeftCell="A13" zoomScale="90" zoomScaleSheetLayoutView="90" workbookViewId="0">
      <selection activeCell="I23" sqref="I23"/>
    </sheetView>
  </sheetViews>
  <sheetFormatPr defaultRowHeight="12.75"/>
  <cols>
    <col min="2" max="2" width="13.7109375" customWidth="1"/>
    <col min="3" max="3" width="16.28515625" customWidth="1"/>
    <col min="4" max="4" width="15.85546875" customWidth="1"/>
    <col min="5" max="5" width="11.285156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>
      <c r="D1" s="851"/>
      <c r="E1" s="851"/>
      <c r="H1" s="43"/>
      <c r="I1" s="926" t="s">
        <v>384</v>
      </c>
      <c r="J1" s="926"/>
    </row>
    <row r="2" spans="1:19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9" ht="20.25">
      <c r="A3" s="848" t="s">
        <v>708</v>
      </c>
      <c r="B3" s="848"/>
      <c r="C3" s="848"/>
      <c r="D3" s="848"/>
      <c r="E3" s="848"/>
      <c r="F3" s="848"/>
      <c r="G3" s="848"/>
      <c r="H3" s="848"/>
      <c r="I3" s="848"/>
      <c r="J3" s="848"/>
    </row>
    <row r="4" spans="1:19" ht="10.5" customHeight="1"/>
    <row r="5" spans="1:19" s="15" customFormat="1" ht="18.75" customHeight="1">
      <c r="A5" s="1029" t="s">
        <v>439</v>
      </c>
      <c r="B5" s="1029"/>
      <c r="C5" s="1029"/>
      <c r="D5" s="1029"/>
      <c r="E5" s="1029"/>
      <c r="F5" s="1029"/>
      <c r="G5" s="1029"/>
      <c r="H5" s="1029"/>
      <c r="I5" s="1029"/>
      <c r="J5" s="1029"/>
      <c r="K5" s="1029"/>
    </row>
    <row r="6" spans="1:19" s="15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5" customFormat="1">
      <c r="A7" s="850" t="s">
        <v>922</v>
      </c>
      <c r="B7" s="850"/>
      <c r="E7" s="990"/>
      <c r="F7" s="990"/>
      <c r="G7" s="990"/>
      <c r="H7" s="990"/>
      <c r="I7" s="990" t="s">
        <v>786</v>
      </c>
      <c r="J7" s="990"/>
      <c r="K7" s="990"/>
    </row>
    <row r="8" spans="1:19" s="13" customFormat="1" ht="15.75" hidden="1">
      <c r="C8" s="932" t="s">
        <v>16</v>
      </c>
      <c r="D8" s="932"/>
      <c r="E8" s="932"/>
      <c r="F8" s="932"/>
      <c r="G8" s="932"/>
      <c r="H8" s="932"/>
      <c r="I8" s="932"/>
      <c r="J8" s="932"/>
    </row>
    <row r="9" spans="1:19" ht="30" customHeight="1">
      <c r="A9" s="924" t="s">
        <v>26</v>
      </c>
      <c r="B9" s="924" t="s">
        <v>40</v>
      </c>
      <c r="C9" s="829" t="s">
        <v>771</v>
      </c>
      <c r="D9" s="830"/>
      <c r="E9" s="829" t="s">
        <v>41</v>
      </c>
      <c r="F9" s="830"/>
      <c r="G9" s="829" t="s">
        <v>42</v>
      </c>
      <c r="H9" s="830"/>
      <c r="I9" s="844" t="s">
        <v>110</v>
      </c>
      <c r="J9" s="844"/>
      <c r="K9" s="924" t="s">
        <v>241</v>
      </c>
      <c r="R9" s="9"/>
      <c r="S9" s="12"/>
    </row>
    <row r="10" spans="1:19" s="14" customFormat="1" ht="42.6" customHeight="1">
      <c r="A10" s="925"/>
      <c r="B10" s="925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925"/>
    </row>
    <row r="11" spans="1:19">
      <c r="A11" s="160">
        <v>1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  <c r="G11" s="160">
        <v>7</v>
      </c>
      <c r="H11" s="160">
        <v>8</v>
      </c>
      <c r="I11" s="160">
        <v>9</v>
      </c>
      <c r="J11" s="160">
        <v>10</v>
      </c>
      <c r="K11" s="3">
        <v>11</v>
      </c>
    </row>
    <row r="12" spans="1:19">
      <c r="A12" s="18">
        <v>1</v>
      </c>
      <c r="B12" s="19" t="s">
        <v>889</v>
      </c>
      <c r="C12" s="429">
        <v>2021</v>
      </c>
      <c r="D12" s="429">
        <v>1287.5999999999999</v>
      </c>
      <c r="E12" s="538">
        <v>896</v>
      </c>
      <c r="F12" s="538">
        <v>545.70000000000005</v>
      </c>
      <c r="G12" s="538">
        <v>214</v>
      </c>
      <c r="H12" s="538">
        <v>144.75</v>
      </c>
      <c r="I12" s="8">
        <v>95</v>
      </c>
      <c r="J12" s="538">
        <v>456</v>
      </c>
      <c r="K12" s="3"/>
    </row>
    <row r="13" spans="1:19">
      <c r="A13" s="18">
        <v>2</v>
      </c>
      <c r="B13" s="19" t="s">
        <v>890</v>
      </c>
      <c r="C13" s="429">
        <v>3667</v>
      </c>
      <c r="D13" s="429">
        <v>2225.4</v>
      </c>
      <c r="E13" s="538">
        <v>2593</v>
      </c>
      <c r="F13" s="538">
        <v>1294.1500000000001</v>
      </c>
      <c r="G13" s="538">
        <v>212</v>
      </c>
      <c r="H13" s="538">
        <v>143.1</v>
      </c>
      <c r="I13" s="8">
        <v>18</v>
      </c>
      <c r="J13" s="538">
        <v>86.399999999999991</v>
      </c>
      <c r="K13" s="3"/>
    </row>
    <row r="14" spans="1:19">
      <c r="A14" s="18">
        <v>3</v>
      </c>
      <c r="B14" s="19" t="s">
        <v>891</v>
      </c>
      <c r="C14" s="429">
        <v>3209</v>
      </c>
      <c r="D14" s="429">
        <v>1931.4</v>
      </c>
      <c r="E14" s="538">
        <v>2239</v>
      </c>
      <c r="F14" s="538">
        <v>1245.6099999999999</v>
      </c>
      <c r="G14" s="538">
        <v>250</v>
      </c>
      <c r="H14" s="538">
        <v>41.62</v>
      </c>
      <c r="I14" s="8">
        <v>107</v>
      </c>
      <c r="J14" s="538">
        <v>513.6</v>
      </c>
      <c r="K14" s="3"/>
    </row>
    <row r="15" spans="1:19">
      <c r="A15" s="18">
        <v>4</v>
      </c>
      <c r="B15" s="19" t="s">
        <v>892</v>
      </c>
      <c r="C15" s="429">
        <v>1734.0000000000002</v>
      </c>
      <c r="D15" s="429">
        <v>1040.4000000000001</v>
      </c>
      <c r="E15" s="538">
        <v>858</v>
      </c>
      <c r="F15" s="538">
        <v>600.6</v>
      </c>
      <c r="G15" s="538">
        <v>232</v>
      </c>
      <c r="H15" s="538">
        <v>156.6</v>
      </c>
      <c r="I15" s="8">
        <v>0</v>
      </c>
      <c r="J15" s="538">
        <v>0</v>
      </c>
      <c r="K15" s="3"/>
    </row>
    <row r="16" spans="1:19">
      <c r="A16" s="18">
        <v>5</v>
      </c>
      <c r="B16" s="19" t="s">
        <v>893</v>
      </c>
      <c r="C16" s="429">
        <v>4086</v>
      </c>
      <c r="D16" s="429">
        <v>2526.6</v>
      </c>
      <c r="E16" s="538">
        <v>3167</v>
      </c>
      <c r="F16" s="538">
        <v>1964.17</v>
      </c>
      <c r="G16" s="538">
        <v>120</v>
      </c>
      <c r="H16" s="538">
        <v>81</v>
      </c>
      <c r="I16" s="8">
        <v>0</v>
      </c>
      <c r="J16" s="538">
        <v>0</v>
      </c>
      <c r="K16" s="3"/>
    </row>
    <row r="17" spans="1:11">
      <c r="A17" s="18">
        <v>6</v>
      </c>
      <c r="B17" s="19" t="s">
        <v>894</v>
      </c>
      <c r="C17" s="429">
        <v>2285</v>
      </c>
      <c r="D17" s="429">
        <v>1417.5</v>
      </c>
      <c r="E17" s="538">
        <v>1581</v>
      </c>
      <c r="F17" s="538">
        <v>1018.48</v>
      </c>
      <c r="G17" s="538">
        <v>143</v>
      </c>
      <c r="H17" s="538">
        <v>96.52</v>
      </c>
      <c r="I17" s="8">
        <v>45</v>
      </c>
      <c r="J17" s="538">
        <v>216</v>
      </c>
      <c r="K17" s="3"/>
    </row>
    <row r="18" spans="1:11">
      <c r="A18" s="18">
        <v>7</v>
      </c>
      <c r="B18" s="19" t="s">
        <v>895</v>
      </c>
      <c r="C18" s="429">
        <v>3077</v>
      </c>
      <c r="D18" s="429">
        <v>1921.2</v>
      </c>
      <c r="E18" s="538">
        <v>1195</v>
      </c>
      <c r="F18" s="538">
        <v>762.42</v>
      </c>
      <c r="G18" s="538">
        <v>0</v>
      </c>
      <c r="H18" s="538">
        <v>0</v>
      </c>
      <c r="I18" s="8">
        <v>33</v>
      </c>
      <c r="J18" s="538">
        <v>158.4</v>
      </c>
      <c r="K18" s="3"/>
    </row>
    <row r="19" spans="1:11">
      <c r="A19" s="18">
        <v>8</v>
      </c>
      <c r="B19" s="19" t="s">
        <v>896</v>
      </c>
      <c r="C19" s="429">
        <v>2305</v>
      </c>
      <c r="D19" s="429">
        <v>1442.25</v>
      </c>
      <c r="E19" s="538">
        <v>889</v>
      </c>
      <c r="F19" s="538">
        <v>583.26</v>
      </c>
      <c r="G19" s="538">
        <v>182</v>
      </c>
      <c r="H19" s="538">
        <v>74.489999999999995</v>
      </c>
      <c r="I19" s="8">
        <v>0</v>
      </c>
      <c r="J19" s="538">
        <v>0</v>
      </c>
      <c r="K19" s="9"/>
    </row>
    <row r="20" spans="1:11">
      <c r="A20" s="18">
        <v>9</v>
      </c>
      <c r="B20" s="19" t="s">
        <v>897</v>
      </c>
      <c r="C20" s="429">
        <v>1834</v>
      </c>
      <c r="D20" s="429">
        <v>1100.4000000000001</v>
      </c>
      <c r="E20" s="538">
        <v>1055</v>
      </c>
      <c r="F20" s="538">
        <v>690.3</v>
      </c>
      <c r="G20" s="538">
        <v>0</v>
      </c>
      <c r="H20" s="538">
        <v>0</v>
      </c>
      <c r="I20" s="8">
        <v>788</v>
      </c>
      <c r="J20" s="538">
        <v>3782.3999999999996</v>
      </c>
      <c r="K20" s="9"/>
    </row>
    <row r="21" spans="1:11">
      <c r="A21" s="18">
        <v>10</v>
      </c>
      <c r="B21" s="19" t="s">
        <v>898</v>
      </c>
      <c r="C21" s="429">
        <v>1710</v>
      </c>
      <c r="D21" s="429">
        <v>1026</v>
      </c>
      <c r="E21" s="538">
        <v>656</v>
      </c>
      <c r="F21" s="538">
        <v>355.83</v>
      </c>
      <c r="G21" s="538">
        <v>726</v>
      </c>
      <c r="H21" s="538">
        <v>435.6</v>
      </c>
      <c r="I21" s="8">
        <v>0</v>
      </c>
      <c r="J21" s="538">
        <v>0</v>
      </c>
      <c r="K21" s="9"/>
    </row>
    <row r="22" spans="1:11">
      <c r="A22" s="18">
        <v>11</v>
      </c>
      <c r="B22" s="19" t="s">
        <v>899</v>
      </c>
      <c r="C22" s="429">
        <v>2011</v>
      </c>
      <c r="D22" s="429">
        <v>1251.5999999999999</v>
      </c>
      <c r="E22" s="538">
        <v>1698</v>
      </c>
      <c r="F22" s="538">
        <v>827.42</v>
      </c>
      <c r="G22" s="538">
        <v>0</v>
      </c>
      <c r="H22" s="538">
        <v>0</v>
      </c>
      <c r="I22" s="8">
        <v>180</v>
      </c>
      <c r="J22" s="538">
        <v>864</v>
      </c>
      <c r="K22" s="9"/>
    </row>
    <row r="23" spans="1:11">
      <c r="A23" s="18">
        <v>12</v>
      </c>
      <c r="B23" s="19" t="s">
        <v>900</v>
      </c>
      <c r="C23" s="429">
        <v>1978</v>
      </c>
      <c r="D23" s="429">
        <v>1186.8</v>
      </c>
      <c r="E23" s="538">
        <v>1592</v>
      </c>
      <c r="F23" s="538">
        <v>954.88</v>
      </c>
      <c r="G23" s="538">
        <v>87</v>
      </c>
      <c r="H23" s="538">
        <v>52.2</v>
      </c>
      <c r="I23" s="8">
        <v>299</v>
      </c>
      <c r="J23" s="538">
        <v>1435.2</v>
      </c>
      <c r="K23" s="9"/>
    </row>
    <row r="24" spans="1:11">
      <c r="A24" s="18">
        <v>13</v>
      </c>
      <c r="B24" s="19" t="s">
        <v>901</v>
      </c>
      <c r="C24" s="429">
        <v>1403</v>
      </c>
      <c r="D24" s="429">
        <v>841.7</v>
      </c>
      <c r="E24" s="538">
        <v>883</v>
      </c>
      <c r="F24" s="538">
        <v>588.6</v>
      </c>
      <c r="G24" s="538">
        <v>90</v>
      </c>
      <c r="H24" s="538">
        <v>81</v>
      </c>
      <c r="I24" s="8">
        <v>162</v>
      </c>
      <c r="J24" s="538">
        <v>777.6</v>
      </c>
      <c r="K24" s="9"/>
    </row>
    <row r="25" spans="1:11">
      <c r="A25" s="18">
        <v>14</v>
      </c>
      <c r="B25" s="19" t="s">
        <v>902</v>
      </c>
      <c r="C25" s="429">
        <v>2457</v>
      </c>
      <c r="D25" s="429">
        <v>1474.2</v>
      </c>
      <c r="E25" s="538">
        <v>1709</v>
      </c>
      <c r="F25" s="538">
        <v>621.35</v>
      </c>
      <c r="G25" s="538">
        <v>359</v>
      </c>
      <c r="H25" s="538">
        <v>0</v>
      </c>
      <c r="I25" s="8">
        <v>166</v>
      </c>
      <c r="J25" s="538">
        <v>796.8</v>
      </c>
      <c r="K25" s="9"/>
    </row>
    <row r="26" spans="1:11">
      <c r="A26" s="475">
        <v>15</v>
      </c>
      <c r="B26" s="19" t="s">
        <v>903</v>
      </c>
      <c r="C26" s="429">
        <v>1840</v>
      </c>
      <c r="D26" s="429">
        <v>1104</v>
      </c>
      <c r="E26" s="538">
        <v>865</v>
      </c>
      <c r="F26" s="538">
        <v>565.26</v>
      </c>
      <c r="G26" s="538">
        <v>0</v>
      </c>
      <c r="H26" s="538">
        <v>0</v>
      </c>
      <c r="I26" s="8">
        <v>0</v>
      </c>
      <c r="J26" s="538">
        <v>0</v>
      </c>
      <c r="K26" s="9"/>
    </row>
    <row r="27" spans="1:11">
      <c r="A27" s="475">
        <v>16</v>
      </c>
      <c r="B27" s="19" t="s">
        <v>904</v>
      </c>
      <c r="C27" s="429">
        <v>1640</v>
      </c>
      <c r="D27" s="429">
        <v>984</v>
      </c>
      <c r="E27" s="538">
        <v>1588</v>
      </c>
      <c r="F27" s="538">
        <v>958.86</v>
      </c>
      <c r="G27" s="538">
        <v>0</v>
      </c>
      <c r="H27" s="538">
        <v>0</v>
      </c>
      <c r="I27" s="8">
        <v>35</v>
      </c>
      <c r="J27" s="538">
        <v>168</v>
      </c>
      <c r="K27" s="9"/>
    </row>
    <row r="28" spans="1:11">
      <c r="A28" s="475">
        <v>17</v>
      </c>
      <c r="B28" s="19" t="s">
        <v>905</v>
      </c>
      <c r="C28" s="429">
        <v>4316</v>
      </c>
      <c r="D28" s="429">
        <v>2589.6</v>
      </c>
      <c r="E28" s="538">
        <v>3056</v>
      </c>
      <c r="F28" s="538">
        <v>2294.39</v>
      </c>
      <c r="G28" s="538">
        <v>290</v>
      </c>
      <c r="H28" s="538">
        <v>124.86</v>
      </c>
      <c r="I28" s="8">
        <v>131</v>
      </c>
      <c r="J28" s="538">
        <v>628.79999999999995</v>
      </c>
      <c r="K28" s="9"/>
    </row>
    <row r="29" spans="1:11">
      <c r="A29" s="475">
        <v>18</v>
      </c>
      <c r="B29" s="19" t="s">
        <v>906</v>
      </c>
      <c r="C29" s="429">
        <v>1454</v>
      </c>
      <c r="D29" s="429">
        <v>887.32</v>
      </c>
      <c r="E29" s="538">
        <v>1704</v>
      </c>
      <c r="F29" s="538">
        <v>742.5</v>
      </c>
      <c r="G29" s="538">
        <v>0</v>
      </c>
      <c r="H29" s="538">
        <v>0</v>
      </c>
      <c r="I29" s="8">
        <v>0</v>
      </c>
      <c r="J29" s="538">
        <v>0</v>
      </c>
      <c r="K29" s="9"/>
    </row>
    <row r="30" spans="1:11">
      <c r="A30" s="475">
        <v>19</v>
      </c>
      <c r="B30" s="19" t="s">
        <v>907</v>
      </c>
      <c r="C30" s="429">
        <v>1881</v>
      </c>
      <c r="D30" s="429">
        <v>1128.5999999999999</v>
      </c>
      <c r="E30" s="538">
        <v>1450</v>
      </c>
      <c r="F30" s="538">
        <v>914.4</v>
      </c>
      <c r="G30" s="538">
        <v>7</v>
      </c>
      <c r="H30" s="538">
        <v>5.0999999999999996</v>
      </c>
      <c r="I30" s="8">
        <v>242</v>
      </c>
      <c r="J30" s="538">
        <v>1161.5999999999999</v>
      </c>
      <c r="K30" s="9"/>
    </row>
    <row r="31" spans="1:11">
      <c r="A31" s="475">
        <v>20</v>
      </c>
      <c r="B31" s="19" t="s">
        <v>908</v>
      </c>
      <c r="C31" s="429">
        <v>2021</v>
      </c>
      <c r="D31" s="429">
        <v>1212.5999999999999</v>
      </c>
      <c r="E31" s="538">
        <v>878</v>
      </c>
      <c r="F31" s="538">
        <v>552.9</v>
      </c>
      <c r="G31" s="538">
        <v>298</v>
      </c>
      <c r="H31" s="538">
        <v>268.2</v>
      </c>
      <c r="I31" s="8">
        <v>156</v>
      </c>
      <c r="J31" s="538">
        <v>748.8</v>
      </c>
      <c r="K31" s="9"/>
    </row>
    <row r="32" spans="1:11">
      <c r="A32" s="475">
        <v>21</v>
      </c>
      <c r="B32" s="19" t="s">
        <v>909</v>
      </c>
      <c r="C32" s="429">
        <v>2348</v>
      </c>
      <c r="D32" s="429">
        <v>1409.1000000000001</v>
      </c>
      <c r="E32" s="538">
        <v>1544</v>
      </c>
      <c r="F32" s="538">
        <v>1261.46</v>
      </c>
      <c r="G32" s="538">
        <v>0</v>
      </c>
      <c r="H32" s="538">
        <v>0</v>
      </c>
      <c r="I32" s="8">
        <v>181</v>
      </c>
      <c r="J32" s="538">
        <v>868.8</v>
      </c>
      <c r="K32" s="9"/>
    </row>
    <row r="33" spans="1:11">
      <c r="A33" s="475">
        <v>22</v>
      </c>
      <c r="B33" s="19" t="s">
        <v>910</v>
      </c>
      <c r="C33" s="429">
        <v>3403</v>
      </c>
      <c r="D33" s="429">
        <v>2056.8000000000002</v>
      </c>
      <c r="E33" s="538">
        <v>1654</v>
      </c>
      <c r="F33" s="538">
        <v>891.12</v>
      </c>
      <c r="G33" s="538">
        <v>191</v>
      </c>
      <c r="H33" s="538">
        <v>162.19</v>
      </c>
      <c r="I33" s="8">
        <v>1749</v>
      </c>
      <c r="J33" s="538">
        <v>8395.1999999999989</v>
      </c>
      <c r="K33" s="9"/>
    </row>
    <row r="34" spans="1:11">
      <c r="A34" s="475">
        <v>23</v>
      </c>
      <c r="B34" s="19" t="s">
        <v>911</v>
      </c>
      <c r="C34" s="429">
        <v>2253</v>
      </c>
      <c r="D34" s="429">
        <v>1352</v>
      </c>
      <c r="E34" s="538">
        <v>879</v>
      </c>
      <c r="F34" s="538">
        <v>572.70000000000005</v>
      </c>
      <c r="G34" s="538">
        <v>244</v>
      </c>
      <c r="H34" s="538">
        <v>207.3</v>
      </c>
      <c r="I34" s="8">
        <v>3</v>
      </c>
      <c r="J34" s="538">
        <v>14.399999999999999</v>
      </c>
      <c r="K34" s="9"/>
    </row>
    <row r="35" spans="1:11">
      <c r="A35" s="475">
        <v>24</v>
      </c>
      <c r="B35" s="19" t="s">
        <v>912</v>
      </c>
      <c r="C35" s="429">
        <v>1824.0000000000002</v>
      </c>
      <c r="D35" s="429">
        <v>1094.4000000000001</v>
      </c>
      <c r="E35" s="538">
        <v>727</v>
      </c>
      <c r="F35" s="538">
        <v>436.2</v>
      </c>
      <c r="G35" s="538">
        <v>4</v>
      </c>
      <c r="H35" s="538">
        <v>2.4</v>
      </c>
      <c r="I35" s="8">
        <v>85</v>
      </c>
      <c r="J35" s="538">
        <v>408</v>
      </c>
      <c r="K35" s="9"/>
    </row>
    <row r="36" spans="1:11">
      <c r="A36" s="475">
        <v>25</v>
      </c>
      <c r="B36" s="19" t="s">
        <v>913</v>
      </c>
      <c r="C36" s="429">
        <v>3690</v>
      </c>
      <c r="D36" s="429">
        <v>2220.6</v>
      </c>
      <c r="E36" s="538">
        <v>3010</v>
      </c>
      <c r="F36" s="538">
        <v>1582.08</v>
      </c>
      <c r="G36" s="538">
        <v>0</v>
      </c>
      <c r="H36" s="538">
        <v>0</v>
      </c>
      <c r="I36" s="8">
        <v>0</v>
      </c>
      <c r="J36" s="538">
        <v>0</v>
      </c>
      <c r="K36" s="9"/>
    </row>
    <row r="37" spans="1:11">
      <c r="A37" s="475">
        <v>26</v>
      </c>
      <c r="B37" s="19" t="s">
        <v>914</v>
      </c>
      <c r="C37" s="429">
        <v>2342</v>
      </c>
      <c r="D37" s="429">
        <v>1405.2</v>
      </c>
      <c r="E37" s="538">
        <v>2312</v>
      </c>
      <c r="F37" s="538">
        <v>1387.2</v>
      </c>
      <c r="G37" s="538">
        <v>30</v>
      </c>
      <c r="H37" s="538">
        <v>18</v>
      </c>
      <c r="I37" s="8">
        <v>11</v>
      </c>
      <c r="J37" s="538">
        <v>52.8</v>
      </c>
      <c r="K37" s="9"/>
    </row>
    <row r="38" spans="1:11">
      <c r="A38" s="475">
        <v>27</v>
      </c>
      <c r="B38" s="19" t="s">
        <v>915</v>
      </c>
      <c r="C38" s="429">
        <v>641</v>
      </c>
      <c r="D38" s="429">
        <v>424.5</v>
      </c>
      <c r="E38" s="538">
        <v>482</v>
      </c>
      <c r="F38" s="538">
        <v>433.8</v>
      </c>
      <c r="G38" s="538">
        <v>60</v>
      </c>
      <c r="H38" s="538">
        <v>33.75</v>
      </c>
      <c r="I38" s="8">
        <v>0</v>
      </c>
      <c r="J38" s="538">
        <v>0</v>
      </c>
      <c r="K38" s="9"/>
    </row>
    <row r="39" spans="1:11">
      <c r="A39" s="475">
        <v>28</v>
      </c>
      <c r="B39" s="19" t="s">
        <v>916</v>
      </c>
      <c r="C39" s="429">
        <v>1994</v>
      </c>
      <c r="D39" s="429">
        <v>1222.6500000000001</v>
      </c>
      <c r="E39" s="538">
        <v>1834</v>
      </c>
      <c r="F39" s="538">
        <v>971.7</v>
      </c>
      <c r="G39" s="538">
        <v>0</v>
      </c>
      <c r="H39" s="538">
        <v>0</v>
      </c>
      <c r="I39" s="8">
        <v>132</v>
      </c>
      <c r="J39" s="538">
        <v>633.6</v>
      </c>
      <c r="K39" s="9"/>
    </row>
    <row r="40" spans="1:11">
      <c r="A40" s="475">
        <v>29</v>
      </c>
      <c r="B40" s="19" t="s">
        <v>917</v>
      </c>
      <c r="C40" s="429">
        <v>1492</v>
      </c>
      <c r="D40" s="429">
        <v>895.2</v>
      </c>
      <c r="E40" s="538">
        <v>1205</v>
      </c>
      <c r="F40" s="538">
        <v>714.56</v>
      </c>
      <c r="G40" s="538">
        <v>70</v>
      </c>
      <c r="H40" s="538">
        <v>50.17</v>
      </c>
      <c r="I40" s="8">
        <v>40</v>
      </c>
      <c r="J40" s="538">
        <v>192</v>
      </c>
      <c r="K40" s="9"/>
    </row>
    <row r="41" spans="1:11">
      <c r="A41" s="475">
        <v>30</v>
      </c>
      <c r="B41" s="19" t="s">
        <v>918</v>
      </c>
      <c r="C41" s="429">
        <v>2801</v>
      </c>
      <c r="D41" s="429">
        <v>1819.05</v>
      </c>
      <c r="E41" s="538">
        <v>981</v>
      </c>
      <c r="F41" s="538">
        <v>803.1</v>
      </c>
      <c r="G41" s="538">
        <v>177</v>
      </c>
      <c r="H41" s="538">
        <v>92.92</v>
      </c>
      <c r="I41" s="8">
        <v>159</v>
      </c>
      <c r="J41" s="538">
        <v>763.19999999999993</v>
      </c>
      <c r="K41" s="9"/>
    </row>
    <row r="42" spans="1:11">
      <c r="A42" s="475">
        <v>31</v>
      </c>
      <c r="B42" s="19" t="s">
        <v>919</v>
      </c>
      <c r="C42" s="429">
        <v>1489</v>
      </c>
      <c r="D42" s="429">
        <v>893.4</v>
      </c>
      <c r="E42" s="538">
        <v>736</v>
      </c>
      <c r="F42" s="538">
        <v>441.6</v>
      </c>
      <c r="G42" s="538">
        <v>0</v>
      </c>
      <c r="H42" s="538">
        <v>0</v>
      </c>
      <c r="I42" s="8">
        <v>0</v>
      </c>
      <c r="J42" s="538">
        <v>0</v>
      </c>
      <c r="K42" s="9"/>
    </row>
    <row r="43" spans="1:11">
      <c r="A43" s="475">
        <v>32</v>
      </c>
      <c r="B43" s="19" t="s">
        <v>920</v>
      </c>
      <c r="C43" s="429">
        <v>1857</v>
      </c>
      <c r="D43" s="429">
        <v>1148.0999999999999</v>
      </c>
      <c r="E43" s="538">
        <v>1655</v>
      </c>
      <c r="F43" s="538">
        <v>979.59</v>
      </c>
      <c r="G43" s="538">
        <v>157</v>
      </c>
      <c r="H43" s="538">
        <v>179.25</v>
      </c>
      <c r="I43" s="8">
        <v>50</v>
      </c>
      <c r="J43" s="538">
        <v>240</v>
      </c>
      <c r="K43" s="9"/>
    </row>
    <row r="44" spans="1:11">
      <c r="A44" s="475">
        <v>33</v>
      </c>
      <c r="B44" s="19" t="s">
        <v>921</v>
      </c>
      <c r="C44" s="429">
        <v>4235</v>
      </c>
      <c r="D44" s="429">
        <v>2615.7600000000002</v>
      </c>
      <c r="E44" s="538">
        <v>3024</v>
      </c>
      <c r="F44" s="538">
        <v>2738.88</v>
      </c>
      <c r="G44" s="538">
        <v>0</v>
      </c>
      <c r="H44" s="538">
        <v>0</v>
      </c>
      <c r="I44" s="8">
        <v>0</v>
      </c>
      <c r="J44" s="538">
        <v>0</v>
      </c>
      <c r="K44" s="9"/>
    </row>
    <row r="45" spans="1:11" s="12" customFormat="1">
      <c r="A45" s="3" t="s">
        <v>19</v>
      </c>
      <c r="B45" s="9"/>
      <c r="C45" s="473">
        <f>SUM(C12:C44)</f>
        <v>77298</v>
      </c>
      <c r="D45" s="473">
        <f t="shared" ref="D45:J45" si="0">SUM(D12:D44)</f>
        <v>47135.929999999993</v>
      </c>
      <c r="E45" s="473">
        <f>SUM(E12:E44)</f>
        <v>50595</v>
      </c>
      <c r="F45" s="473">
        <f t="shared" si="0"/>
        <v>31295.07</v>
      </c>
      <c r="G45" s="473">
        <f t="shared" si="0"/>
        <v>4143</v>
      </c>
      <c r="H45" s="473">
        <f t="shared" si="0"/>
        <v>2451.0200000000004</v>
      </c>
      <c r="I45" s="473">
        <f>SUM(I12:I44)</f>
        <v>4867</v>
      </c>
      <c r="J45" s="473">
        <f t="shared" si="0"/>
        <v>23361.599999999995</v>
      </c>
      <c r="K45" s="9"/>
    </row>
    <row r="46" spans="1:11" s="12" customFormat="1">
      <c r="A46" s="10" t="s">
        <v>44</v>
      </c>
    </row>
    <row r="47" spans="1:11" s="12" customFormat="1">
      <c r="A47" s="10"/>
    </row>
    <row r="48" spans="1:11" s="12" customFormat="1">
      <c r="A48" s="10"/>
    </row>
    <row r="49" spans="1:16" s="12" customFormat="1">
      <c r="A49" s="10"/>
    </row>
    <row r="50" spans="1:16" s="15" customFormat="1" ht="13.9" customHeight="1">
      <c r="B50" s="88"/>
      <c r="C50" s="88"/>
      <c r="D50" s="88"/>
      <c r="E50" s="88"/>
      <c r="F50" s="88"/>
      <c r="G50" s="88"/>
      <c r="H50" s="88"/>
      <c r="I50" s="866" t="s">
        <v>13</v>
      </c>
      <c r="J50" s="866"/>
      <c r="K50" s="88"/>
      <c r="L50" s="88"/>
      <c r="M50" s="88"/>
      <c r="N50" s="88"/>
      <c r="O50" s="88"/>
      <c r="P50" s="88"/>
    </row>
    <row r="51" spans="1:16" s="15" customFormat="1" ht="13.15" customHeight="1">
      <c r="A51" s="871" t="s">
        <v>14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8"/>
      <c r="L51" s="88"/>
      <c r="M51" s="88"/>
      <c r="N51" s="88"/>
      <c r="O51" s="88"/>
      <c r="P51" s="88"/>
    </row>
    <row r="52" spans="1:16" s="15" customFormat="1" ht="13.15" customHeight="1">
      <c r="A52" s="871" t="s">
        <v>20</v>
      </c>
      <c r="B52" s="871"/>
      <c r="C52" s="871"/>
      <c r="D52" s="871"/>
      <c r="E52" s="871"/>
      <c r="F52" s="871"/>
      <c r="G52" s="871"/>
      <c r="H52" s="871"/>
      <c r="I52" s="871"/>
      <c r="J52" s="871"/>
      <c r="K52" s="88"/>
      <c r="L52" s="88"/>
      <c r="M52" s="88"/>
      <c r="N52" s="88"/>
      <c r="O52" s="88"/>
      <c r="P52" s="88"/>
    </row>
    <row r="53" spans="1:16" s="15" customFormat="1">
      <c r="A53" s="14" t="s">
        <v>23</v>
      </c>
      <c r="B53" s="14"/>
      <c r="C53" s="14"/>
      <c r="D53" s="14"/>
      <c r="E53" s="14"/>
      <c r="F53" s="14"/>
      <c r="H53" s="851" t="s">
        <v>24</v>
      </c>
      <c r="I53" s="851"/>
    </row>
    <row r="54" spans="1:16" s="15" customFormat="1">
      <c r="A54" s="14"/>
    </row>
    <row r="55" spans="1:16">
      <c r="A55" s="927"/>
      <c r="B55" s="927"/>
      <c r="C55" s="927"/>
      <c r="D55" s="927"/>
      <c r="E55" s="927"/>
      <c r="F55" s="927"/>
      <c r="G55" s="927"/>
      <c r="H55" s="927"/>
      <c r="I55" s="927"/>
      <c r="J55" s="927"/>
    </row>
  </sheetData>
  <mergeCells count="21">
    <mergeCell ref="I1:J1"/>
    <mergeCell ref="A51:J51"/>
    <mergeCell ref="G9:H9"/>
    <mergeCell ref="I9:J9"/>
    <mergeCell ref="D1:E1"/>
    <mergeCell ref="A9:A10"/>
    <mergeCell ref="A2:J2"/>
    <mergeCell ref="A55:J55"/>
    <mergeCell ref="E9:F9"/>
    <mergeCell ref="C9:D9"/>
    <mergeCell ref="H53:I53"/>
    <mergeCell ref="A52:J52"/>
    <mergeCell ref="K9:K10"/>
    <mergeCell ref="C8:J8"/>
    <mergeCell ref="E7:H7"/>
    <mergeCell ref="A3:J3"/>
    <mergeCell ref="I50:J50"/>
    <mergeCell ref="I7:K7"/>
    <mergeCell ref="A7:B7"/>
    <mergeCell ref="A5:K5"/>
    <mergeCell ref="B9:B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4"/>
  <sheetViews>
    <sheetView view="pageBreakPreview" topLeftCell="A10" zoomScale="90" zoomScaleSheetLayoutView="90" workbookViewId="0">
      <selection activeCell="G37" sqref="G37"/>
    </sheetView>
  </sheetViews>
  <sheetFormatPr defaultRowHeight="12.75"/>
  <cols>
    <col min="2" max="2" width="20.5703125" customWidth="1"/>
    <col min="3" max="3" width="15.140625" customWidth="1"/>
    <col min="4" max="4" width="15.85546875" customWidth="1"/>
    <col min="5" max="5" width="9.8554687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>
      <c r="D1" s="851"/>
      <c r="E1" s="851"/>
      <c r="H1" s="43"/>
      <c r="J1" s="926" t="s">
        <v>72</v>
      </c>
      <c r="K1" s="926"/>
    </row>
    <row r="2" spans="1:19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9" ht="18">
      <c r="A3" s="948" t="s">
        <v>705</v>
      </c>
      <c r="B3" s="948"/>
      <c r="C3" s="948"/>
      <c r="D3" s="948"/>
      <c r="E3" s="948"/>
      <c r="F3" s="948"/>
      <c r="G3" s="948"/>
      <c r="H3" s="948"/>
      <c r="I3" s="948"/>
      <c r="J3" s="948"/>
    </row>
    <row r="4" spans="1:19" ht="10.5" customHeight="1"/>
    <row r="5" spans="1:19" s="15" customFormat="1" ht="15.75" customHeight="1">
      <c r="A5" s="1030" t="s">
        <v>440</v>
      </c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1030"/>
    </row>
    <row r="6" spans="1:19" s="15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5" customFormat="1">
      <c r="A7" s="850" t="s">
        <v>923</v>
      </c>
      <c r="B7" s="850"/>
      <c r="I7" s="990" t="s">
        <v>786</v>
      </c>
      <c r="J7" s="990"/>
      <c r="K7" s="990"/>
    </row>
    <row r="8" spans="1:19" s="13" customFormat="1" ht="15.75" hidden="1">
      <c r="C8" s="932" t="s">
        <v>16</v>
      </c>
      <c r="D8" s="932"/>
      <c r="E8" s="932"/>
      <c r="F8" s="932"/>
      <c r="G8" s="932"/>
      <c r="H8" s="932"/>
      <c r="I8" s="932"/>
      <c r="J8" s="932"/>
    </row>
    <row r="9" spans="1:19" ht="30" customHeight="1">
      <c r="A9" s="924" t="s">
        <v>26</v>
      </c>
      <c r="B9" s="924" t="s">
        <v>40</v>
      </c>
      <c r="C9" s="829" t="s">
        <v>772</v>
      </c>
      <c r="D9" s="830"/>
      <c r="E9" s="829" t="s">
        <v>479</v>
      </c>
      <c r="F9" s="830"/>
      <c r="G9" s="829" t="s">
        <v>42</v>
      </c>
      <c r="H9" s="830"/>
      <c r="I9" s="844" t="s">
        <v>110</v>
      </c>
      <c r="J9" s="844"/>
      <c r="K9" s="924" t="s">
        <v>517</v>
      </c>
      <c r="R9" s="9"/>
      <c r="S9" s="12"/>
    </row>
    <row r="10" spans="1:19" s="14" customFormat="1" ht="46.5" customHeight="1">
      <c r="A10" s="925"/>
      <c r="B10" s="925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925"/>
    </row>
    <row r="11" spans="1:19">
      <c r="A11" s="160">
        <v>1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  <c r="G11" s="160">
        <v>7</v>
      </c>
      <c r="H11" s="160">
        <v>8</v>
      </c>
      <c r="I11" s="160">
        <v>9</v>
      </c>
      <c r="J11" s="160">
        <v>10</v>
      </c>
      <c r="K11" s="160">
        <v>11</v>
      </c>
    </row>
    <row r="12" spans="1:19">
      <c r="A12" s="8">
        <v>1</v>
      </c>
      <c r="B12" s="19" t="s">
        <v>889</v>
      </c>
      <c r="C12" s="8">
        <v>3137</v>
      </c>
      <c r="D12" s="8">
        <v>156.85000000000002</v>
      </c>
      <c r="E12" s="8">
        <v>3137</v>
      </c>
      <c r="F12" s="8">
        <v>156.85000000000002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>
      <c r="A13" s="8">
        <v>2</v>
      </c>
      <c r="B13" s="19" t="s">
        <v>890</v>
      </c>
      <c r="C13" s="8">
        <v>3519</v>
      </c>
      <c r="D13" s="8">
        <v>175.95000000000002</v>
      </c>
      <c r="E13" s="8">
        <v>3519</v>
      </c>
      <c r="F13" s="8">
        <v>175.95000000000002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>
      <c r="A14" s="8">
        <v>3</v>
      </c>
      <c r="B14" s="19" t="s">
        <v>891</v>
      </c>
      <c r="C14" s="8">
        <v>2979</v>
      </c>
      <c r="D14" s="8">
        <v>148.95000000000002</v>
      </c>
      <c r="E14" s="8">
        <v>2979</v>
      </c>
      <c r="F14" s="8">
        <v>148.95000000000002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>
      <c r="A15" s="8">
        <v>4</v>
      </c>
      <c r="B15" s="19" t="s">
        <v>892</v>
      </c>
      <c r="C15" s="8">
        <v>1544</v>
      </c>
      <c r="D15" s="8">
        <v>77.2</v>
      </c>
      <c r="E15" s="8">
        <v>1544</v>
      </c>
      <c r="F15" s="8">
        <v>77.2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9">
      <c r="A16" s="8">
        <v>5</v>
      </c>
      <c r="B16" s="19" t="s">
        <v>893</v>
      </c>
      <c r="C16" s="8">
        <v>6765</v>
      </c>
      <c r="D16" s="8">
        <v>338.25</v>
      </c>
      <c r="E16" s="8">
        <v>6765</v>
      </c>
      <c r="F16" s="8">
        <v>338.25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>
      <c r="A17" s="8">
        <v>6</v>
      </c>
      <c r="B17" s="19" t="s">
        <v>894</v>
      </c>
      <c r="C17" s="8">
        <v>2548</v>
      </c>
      <c r="D17" s="8">
        <v>127.4</v>
      </c>
      <c r="E17" s="8">
        <v>2548</v>
      </c>
      <c r="F17" s="8">
        <v>127.4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>
      <c r="A18" s="8">
        <v>7</v>
      </c>
      <c r="B18" s="19" t="s">
        <v>895</v>
      </c>
      <c r="C18" s="8">
        <v>5431</v>
      </c>
      <c r="D18" s="8">
        <v>271.55</v>
      </c>
      <c r="E18" s="8">
        <v>5431</v>
      </c>
      <c r="F18" s="8">
        <v>271.55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>
      <c r="A19" s="8">
        <v>8</v>
      </c>
      <c r="B19" s="19" t="s">
        <v>896</v>
      </c>
      <c r="C19" s="8">
        <v>2739</v>
      </c>
      <c r="D19" s="8">
        <v>136.95000000000002</v>
      </c>
      <c r="E19" s="8">
        <v>2739</v>
      </c>
      <c r="F19" s="8">
        <v>136.95000000000002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>
      <c r="A20" s="8">
        <v>9</v>
      </c>
      <c r="B20" s="19" t="s">
        <v>897</v>
      </c>
      <c r="C20" s="8">
        <v>1631</v>
      </c>
      <c r="D20" s="8">
        <v>81.550000000000011</v>
      </c>
      <c r="E20" s="8">
        <v>1631</v>
      </c>
      <c r="F20" s="8">
        <v>81.550000000000011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>
      <c r="A21" s="8">
        <v>10</v>
      </c>
      <c r="B21" s="19" t="s">
        <v>898</v>
      </c>
      <c r="C21" s="8">
        <v>3055</v>
      </c>
      <c r="D21" s="8">
        <v>152.75</v>
      </c>
      <c r="E21" s="8">
        <v>3055</v>
      </c>
      <c r="F21" s="8">
        <v>152.75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>
      <c r="A22" s="8">
        <v>11</v>
      </c>
      <c r="B22" s="19" t="s">
        <v>899</v>
      </c>
      <c r="C22" s="8">
        <v>2254</v>
      </c>
      <c r="D22" s="8">
        <v>112.7</v>
      </c>
      <c r="E22" s="8">
        <v>2254</v>
      </c>
      <c r="F22" s="8">
        <v>112.7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>
      <c r="A23" s="8">
        <v>12</v>
      </c>
      <c r="B23" s="19" t="s">
        <v>900</v>
      </c>
      <c r="C23" s="8">
        <v>1718</v>
      </c>
      <c r="D23" s="8">
        <v>85.9</v>
      </c>
      <c r="E23" s="8">
        <v>1718</v>
      </c>
      <c r="F23" s="8">
        <v>85.9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>
      <c r="A24" s="8">
        <v>13</v>
      </c>
      <c r="B24" s="19" t="s">
        <v>901</v>
      </c>
      <c r="C24" s="8">
        <v>1792</v>
      </c>
      <c r="D24" s="8">
        <v>89.600000000000009</v>
      </c>
      <c r="E24" s="8">
        <v>1792</v>
      </c>
      <c r="F24" s="8">
        <v>89.600000000000009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>
      <c r="A25" s="8">
        <v>14</v>
      </c>
      <c r="B25" s="19" t="s">
        <v>902</v>
      </c>
      <c r="C25" s="8">
        <v>2733</v>
      </c>
      <c r="D25" s="8">
        <v>136.65</v>
      </c>
      <c r="E25" s="8">
        <v>2733</v>
      </c>
      <c r="F25" s="8">
        <v>136.65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>
      <c r="A26" s="8">
        <v>15</v>
      </c>
      <c r="B26" s="19" t="s">
        <v>903</v>
      </c>
      <c r="C26" s="8">
        <v>2646</v>
      </c>
      <c r="D26" s="8">
        <v>132.30000000000001</v>
      </c>
      <c r="E26" s="8">
        <v>2646</v>
      </c>
      <c r="F26" s="8">
        <v>132.30000000000001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>
      <c r="A27" s="8">
        <v>16</v>
      </c>
      <c r="B27" s="19" t="s">
        <v>904</v>
      </c>
      <c r="C27" s="8">
        <v>1513</v>
      </c>
      <c r="D27" s="8">
        <v>75.650000000000006</v>
      </c>
      <c r="E27" s="8">
        <v>1513</v>
      </c>
      <c r="F27" s="8">
        <v>75.650000000000006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>
      <c r="A28" s="8">
        <v>17</v>
      </c>
      <c r="B28" s="19" t="s">
        <v>905</v>
      </c>
      <c r="C28" s="8">
        <v>4413</v>
      </c>
      <c r="D28" s="8">
        <v>220.65</v>
      </c>
      <c r="E28" s="8">
        <v>4413</v>
      </c>
      <c r="F28" s="8">
        <v>220.65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>
      <c r="A29" s="8">
        <v>18</v>
      </c>
      <c r="B29" s="19" t="s">
        <v>906</v>
      </c>
      <c r="C29" s="8">
        <v>2079</v>
      </c>
      <c r="D29" s="8">
        <v>103.95</v>
      </c>
      <c r="E29" s="8">
        <v>2079</v>
      </c>
      <c r="F29" s="8">
        <v>103.95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>
      <c r="A30" s="8">
        <v>19</v>
      </c>
      <c r="B30" s="19" t="s">
        <v>907</v>
      </c>
      <c r="C30" s="8">
        <v>2595</v>
      </c>
      <c r="D30" s="8">
        <v>129.75</v>
      </c>
      <c r="E30" s="8">
        <v>2595</v>
      </c>
      <c r="F30" s="8">
        <v>129.75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>
      <c r="A31" s="8">
        <v>20</v>
      </c>
      <c r="B31" s="19" t="s">
        <v>908</v>
      </c>
      <c r="C31" s="8">
        <v>2317</v>
      </c>
      <c r="D31" s="8">
        <v>115.85000000000001</v>
      </c>
      <c r="E31" s="8">
        <v>2317</v>
      </c>
      <c r="F31" s="8">
        <v>115.85000000000001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>
      <c r="A32" s="8">
        <v>21</v>
      </c>
      <c r="B32" s="19" t="s">
        <v>909</v>
      </c>
      <c r="C32" s="8">
        <v>2252</v>
      </c>
      <c r="D32" s="8">
        <v>112.60000000000001</v>
      </c>
      <c r="E32" s="8">
        <v>2252</v>
      </c>
      <c r="F32" s="8">
        <v>112.60000000000001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>
      <c r="A33" s="8">
        <v>22</v>
      </c>
      <c r="B33" s="19" t="s">
        <v>910</v>
      </c>
      <c r="C33" s="8">
        <v>3722</v>
      </c>
      <c r="D33" s="8">
        <v>186.10000000000002</v>
      </c>
      <c r="E33" s="8">
        <v>3722</v>
      </c>
      <c r="F33" s="8">
        <v>186.10000000000002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>
      <c r="A34" s="8">
        <v>23</v>
      </c>
      <c r="B34" s="19" t="s">
        <v>911</v>
      </c>
      <c r="C34" s="8">
        <v>2180</v>
      </c>
      <c r="D34" s="8">
        <v>109</v>
      </c>
      <c r="E34" s="8">
        <v>2180</v>
      </c>
      <c r="F34" s="8">
        <v>109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>
      <c r="A35" s="8">
        <v>24</v>
      </c>
      <c r="B35" s="19" t="s">
        <v>912</v>
      </c>
      <c r="C35" s="8">
        <v>1869</v>
      </c>
      <c r="D35" s="8">
        <v>93.45</v>
      </c>
      <c r="E35" s="8">
        <v>1869</v>
      </c>
      <c r="F35" s="8">
        <v>93.45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>
      <c r="A36" s="8">
        <v>25</v>
      </c>
      <c r="B36" s="19" t="s">
        <v>913</v>
      </c>
      <c r="C36" s="8">
        <v>3907</v>
      </c>
      <c r="D36" s="8">
        <v>195.35000000000002</v>
      </c>
      <c r="E36" s="8">
        <v>3907</v>
      </c>
      <c r="F36" s="8">
        <v>195.35000000000002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>
      <c r="A37" s="8">
        <v>26</v>
      </c>
      <c r="B37" s="19" t="s">
        <v>914</v>
      </c>
      <c r="C37" s="8">
        <v>2125</v>
      </c>
      <c r="D37" s="8">
        <v>106.25</v>
      </c>
      <c r="E37" s="8">
        <v>2125</v>
      </c>
      <c r="F37" s="8">
        <v>106.25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>
      <c r="A38" s="8">
        <v>27</v>
      </c>
      <c r="B38" s="19" t="s">
        <v>915</v>
      </c>
      <c r="C38" s="8">
        <v>344</v>
      </c>
      <c r="D38" s="8">
        <v>17.2</v>
      </c>
      <c r="E38" s="8">
        <v>344</v>
      </c>
      <c r="F38" s="8">
        <v>17.2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>
      <c r="A39" s="8">
        <v>28</v>
      </c>
      <c r="B39" s="19" t="s">
        <v>916</v>
      </c>
      <c r="C39" s="8">
        <v>2102</v>
      </c>
      <c r="D39" s="8">
        <v>105.10000000000001</v>
      </c>
      <c r="E39" s="8">
        <v>2102</v>
      </c>
      <c r="F39" s="8">
        <v>105.10000000000001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>
      <c r="A40" s="8">
        <v>29</v>
      </c>
      <c r="B40" s="19" t="s">
        <v>917</v>
      </c>
      <c r="C40" s="8">
        <v>1543</v>
      </c>
      <c r="D40" s="8">
        <v>77.150000000000006</v>
      </c>
      <c r="E40" s="8">
        <v>1543</v>
      </c>
      <c r="F40" s="8">
        <v>77.150000000000006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>
      <c r="A41" s="8">
        <v>30</v>
      </c>
      <c r="B41" s="19" t="s">
        <v>918</v>
      </c>
      <c r="C41" s="8">
        <v>2591</v>
      </c>
      <c r="D41" s="8">
        <v>129.55000000000001</v>
      </c>
      <c r="E41" s="8">
        <v>2591</v>
      </c>
      <c r="F41" s="8">
        <v>129.55000000000001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>
      <c r="A42" s="8">
        <v>31</v>
      </c>
      <c r="B42" s="19" t="s">
        <v>919</v>
      </c>
      <c r="C42" s="8">
        <v>1245</v>
      </c>
      <c r="D42" s="8">
        <v>62.25</v>
      </c>
      <c r="E42" s="8">
        <v>1245</v>
      </c>
      <c r="F42" s="8">
        <v>62.25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>
      <c r="A43" s="8">
        <v>32</v>
      </c>
      <c r="B43" s="19" t="s">
        <v>920</v>
      </c>
      <c r="C43" s="8">
        <v>2176</v>
      </c>
      <c r="D43" s="8">
        <v>108.80000000000001</v>
      </c>
      <c r="E43" s="8">
        <v>2176</v>
      </c>
      <c r="F43" s="8">
        <v>108.80000000000001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>
      <c r="A44" s="8">
        <v>33</v>
      </c>
      <c r="B44" s="19" t="s">
        <v>921</v>
      </c>
      <c r="C44" s="8">
        <v>4984</v>
      </c>
      <c r="D44" s="8">
        <v>249.20000000000002</v>
      </c>
      <c r="E44" s="8">
        <v>4984</v>
      </c>
      <c r="F44" s="8">
        <v>249.20000000000002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s="12" customFormat="1">
      <c r="A45" s="3" t="s">
        <v>19</v>
      </c>
      <c r="B45" s="9"/>
      <c r="C45" s="8">
        <v>88448</v>
      </c>
      <c r="D45" s="8">
        <v>4422.3999999999996</v>
      </c>
      <c r="E45" s="8">
        <v>88448</v>
      </c>
      <c r="F45" s="8">
        <v>4422.3999999999996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s="12" customFormat="1"/>
    <row r="47" spans="1:11" s="12" customFormat="1">
      <c r="A47" s="10" t="s">
        <v>44</v>
      </c>
    </row>
    <row r="48" spans="1:11" ht="15.75" customHeight="1">
      <c r="C48" s="928"/>
      <c r="D48" s="928"/>
      <c r="E48" s="928"/>
      <c r="F48" s="928"/>
    </row>
    <row r="49" spans="1:16" s="15" customFormat="1" ht="13.9" customHeight="1">
      <c r="B49" s="88"/>
      <c r="C49" s="88"/>
      <c r="D49" s="88"/>
      <c r="E49" s="88"/>
      <c r="F49" s="88"/>
      <c r="G49" s="88"/>
      <c r="H49" s="88"/>
      <c r="I49" s="866" t="s">
        <v>13</v>
      </c>
      <c r="J49" s="866"/>
      <c r="K49" s="88"/>
      <c r="L49" s="88"/>
      <c r="M49" s="88"/>
      <c r="N49" s="88"/>
      <c r="O49" s="88"/>
      <c r="P49" s="88"/>
    </row>
    <row r="50" spans="1:16" s="15" customFormat="1" ht="13.15" customHeight="1">
      <c r="A50" s="871" t="s">
        <v>14</v>
      </c>
      <c r="B50" s="871"/>
      <c r="C50" s="871"/>
      <c r="D50" s="871"/>
      <c r="E50" s="871"/>
      <c r="F50" s="871"/>
      <c r="G50" s="871"/>
      <c r="H50" s="871"/>
      <c r="I50" s="871"/>
      <c r="J50" s="871"/>
      <c r="K50" s="88"/>
      <c r="L50" s="88"/>
      <c r="M50" s="88"/>
      <c r="N50" s="88"/>
      <c r="O50" s="88"/>
      <c r="P50" s="88"/>
    </row>
    <row r="51" spans="1:16" s="15" customFormat="1" ht="13.15" customHeight="1">
      <c r="A51" s="871" t="s">
        <v>20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8"/>
      <c r="L51" s="88"/>
      <c r="M51" s="88"/>
      <c r="N51" s="88"/>
      <c r="O51" s="88"/>
      <c r="P51" s="88"/>
    </row>
    <row r="52" spans="1:16" s="15" customFormat="1">
      <c r="A52" s="14" t="s">
        <v>23</v>
      </c>
      <c r="B52" s="14"/>
      <c r="C52" s="14"/>
      <c r="D52" s="14"/>
      <c r="E52" s="14"/>
      <c r="F52" s="14"/>
      <c r="H52" s="851" t="s">
        <v>24</v>
      </c>
      <c r="I52" s="851"/>
    </row>
    <row r="53" spans="1:16" s="15" customFormat="1">
      <c r="A53" s="14"/>
    </row>
    <row r="54" spans="1:16">
      <c r="A54" s="927"/>
      <c r="B54" s="927"/>
      <c r="C54" s="927"/>
      <c r="D54" s="927"/>
      <c r="E54" s="927"/>
      <c r="F54" s="927"/>
      <c r="G54" s="927"/>
      <c r="H54" s="927"/>
      <c r="I54" s="927"/>
      <c r="J54" s="927"/>
    </row>
  </sheetData>
  <mergeCells count="21">
    <mergeCell ref="J1:K1"/>
    <mergeCell ref="I9:J9"/>
    <mergeCell ref="D1:E1"/>
    <mergeCell ref="A2:J2"/>
    <mergeCell ref="A3:J3"/>
    <mergeCell ref="C9:D9"/>
    <mergeCell ref="A5:L5"/>
    <mergeCell ref="K9:K10"/>
    <mergeCell ref="A7:B7"/>
    <mergeCell ref="A54:J54"/>
    <mergeCell ref="A50:J50"/>
    <mergeCell ref="I7:K7"/>
    <mergeCell ref="H52:I52"/>
    <mergeCell ref="C8:J8"/>
    <mergeCell ref="A9:A10"/>
    <mergeCell ref="I49:J49"/>
    <mergeCell ref="B9:B10"/>
    <mergeCell ref="E9:F9"/>
    <mergeCell ref="G9:H9"/>
    <mergeCell ref="A51:J51"/>
    <mergeCell ref="C48:F4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4"/>
  <sheetViews>
    <sheetView view="pageBreakPreview" topLeftCell="A10" zoomScale="90" zoomScaleSheetLayoutView="90" workbookViewId="0">
      <selection activeCell="G57" sqref="G57"/>
    </sheetView>
  </sheetViews>
  <sheetFormatPr defaultRowHeight="12.75"/>
  <cols>
    <col min="2" max="2" width="19" customWidth="1"/>
    <col min="3" max="3" width="16.28515625" customWidth="1"/>
    <col min="4" max="4" width="15.85546875" customWidth="1"/>
    <col min="5" max="5" width="9.28515625" customWidth="1"/>
    <col min="6" max="6" width="13.5703125" customWidth="1"/>
    <col min="7" max="7" width="9.7109375" customWidth="1"/>
    <col min="8" max="8" width="10.42578125" customWidth="1"/>
    <col min="9" max="9" width="15.28515625" customWidth="1"/>
    <col min="10" max="10" width="19.28515625" customWidth="1"/>
    <col min="11" max="11" width="15" customWidth="1"/>
  </cols>
  <sheetData>
    <row r="1" spans="1:19" ht="22.9" customHeight="1">
      <c r="D1" s="851"/>
      <c r="E1" s="851"/>
      <c r="H1" s="43"/>
      <c r="J1" s="926" t="s">
        <v>480</v>
      </c>
      <c r="K1" s="926"/>
    </row>
    <row r="2" spans="1:19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</row>
    <row r="3" spans="1:19" ht="18">
      <c r="A3" s="948" t="s">
        <v>705</v>
      </c>
      <c r="B3" s="948"/>
      <c r="C3" s="948"/>
      <c r="D3" s="948"/>
      <c r="E3" s="948"/>
      <c r="F3" s="948"/>
      <c r="G3" s="948"/>
      <c r="H3" s="948"/>
      <c r="I3" s="948"/>
      <c r="J3" s="948"/>
    </row>
    <row r="4" spans="1:19" ht="10.5" customHeight="1"/>
    <row r="5" spans="1:19" s="15" customFormat="1" ht="15.75" customHeight="1">
      <c r="A5" s="1031" t="s">
        <v>490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</row>
    <row r="6" spans="1:19" s="15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9" s="15" customFormat="1">
      <c r="A7" s="850" t="s">
        <v>923</v>
      </c>
      <c r="B7" s="850"/>
      <c r="I7" s="990" t="s">
        <v>787</v>
      </c>
      <c r="J7" s="990"/>
      <c r="K7" s="990"/>
    </row>
    <row r="8" spans="1:19" s="13" customFormat="1" ht="15.75" hidden="1">
      <c r="C8" s="932" t="s">
        <v>16</v>
      </c>
      <c r="D8" s="932"/>
      <c r="E8" s="932"/>
      <c r="F8" s="932"/>
      <c r="G8" s="932"/>
      <c r="H8" s="932"/>
      <c r="I8" s="932"/>
      <c r="J8" s="932"/>
    </row>
    <row r="9" spans="1:19" ht="31.5" customHeight="1">
      <c r="A9" s="924" t="s">
        <v>26</v>
      </c>
      <c r="B9" s="924" t="s">
        <v>40</v>
      </c>
      <c r="C9" s="829" t="s">
        <v>773</v>
      </c>
      <c r="D9" s="830"/>
      <c r="E9" s="829" t="s">
        <v>479</v>
      </c>
      <c r="F9" s="830"/>
      <c r="G9" s="829" t="s">
        <v>42</v>
      </c>
      <c r="H9" s="830"/>
      <c r="I9" s="844" t="s">
        <v>110</v>
      </c>
      <c r="J9" s="844"/>
      <c r="K9" s="924" t="s">
        <v>517</v>
      </c>
      <c r="R9" s="9"/>
      <c r="S9" s="12"/>
    </row>
    <row r="10" spans="1:19" s="14" customFormat="1" ht="46.5" customHeight="1">
      <c r="A10" s="925"/>
      <c r="B10" s="925"/>
      <c r="C10" s="5" t="s">
        <v>43</v>
      </c>
      <c r="D10" s="5" t="s">
        <v>109</v>
      </c>
      <c r="E10" s="5" t="s">
        <v>43</v>
      </c>
      <c r="F10" s="5" t="s">
        <v>109</v>
      </c>
      <c r="G10" s="5" t="s">
        <v>43</v>
      </c>
      <c r="H10" s="5" t="s">
        <v>109</v>
      </c>
      <c r="I10" s="5" t="s">
        <v>139</v>
      </c>
      <c r="J10" s="5" t="s">
        <v>140</v>
      </c>
      <c r="K10" s="925"/>
    </row>
    <row r="11" spans="1:19">
      <c r="A11" s="308">
        <v>1</v>
      </c>
      <c r="B11" s="308">
        <v>2</v>
      </c>
      <c r="C11" s="308">
        <v>3</v>
      </c>
      <c r="D11" s="308">
        <v>4</v>
      </c>
      <c r="E11" s="308">
        <v>5</v>
      </c>
      <c r="F11" s="308">
        <v>6</v>
      </c>
      <c r="G11" s="308">
        <v>7</v>
      </c>
      <c r="H11" s="308">
        <v>8</v>
      </c>
      <c r="I11" s="308">
        <v>9</v>
      </c>
      <c r="J11" s="308">
        <v>10</v>
      </c>
      <c r="K11" s="308">
        <v>11</v>
      </c>
    </row>
    <row r="12" spans="1:19">
      <c r="A12" s="8">
        <v>1</v>
      </c>
      <c r="B12" s="19" t="s">
        <v>889</v>
      </c>
      <c r="C12" s="8">
        <v>813</v>
      </c>
      <c r="D12" s="8">
        <v>40.650000000000006</v>
      </c>
      <c r="E12" s="8">
        <v>813</v>
      </c>
      <c r="F12" s="8">
        <v>40.650000000000006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9">
      <c r="A13" s="8">
        <v>2</v>
      </c>
      <c r="B13" s="19" t="s">
        <v>890</v>
      </c>
      <c r="C13" s="8">
        <v>2828</v>
      </c>
      <c r="D13" s="8">
        <v>141.4</v>
      </c>
      <c r="E13" s="8">
        <v>2828</v>
      </c>
      <c r="F13" s="8">
        <v>141.4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9">
      <c r="A14" s="8">
        <v>3</v>
      </c>
      <c r="B14" s="19" t="s">
        <v>891</v>
      </c>
      <c r="C14" s="8">
        <v>939</v>
      </c>
      <c r="D14" s="8">
        <v>46.95</v>
      </c>
      <c r="E14" s="8">
        <v>939</v>
      </c>
      <c r="F14" s="8">
        <v>46.95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9">
      <c r="A15" s="8">
        <v>4</v>
      </c>
      <c r="B15" s="19" t="s">
        <v>892</v>
      </c>
      <c r="C15" s="8">
        <v>444</v>
      </c>
      <c r="D15" s="8">
        <v>22.200000000000003</v>
      </c>
      <c r="E15" s="8">
        <v>444</v>
      </c>
      <c r="F15" s="8">
        <v>22.200000000000003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9">
      <c r="A16" s="8">
        <v>5</v>
      </c>
      <c r="B16" s="19" t="s">
        <v>893</v>
      </c>
      <c r="C16" s="8">
        <v>2737</v>
      </c>
      <c r="D16" s="8">
        <v>136.85</v>
      </c>
      <c r="E16" s="8">
        <v>2737</v>
      </c>
      <c r="F16" s="8">
        <v>136.85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>
      <c r="A17" s="8">
        <v>6</v>
      </c>
      <c r="B17" s="19" t="s">
        <v>894</v>
      </c>
      <c r="C17" s="8">
        <v>691</v>
      </c>
      <c r="D17" s="8">
        <v>34.550000000000004</v>
      </c>
      <c r="E17" s="8">
        <v>691</v>
      </c>
      <c r="F17" s="8">
        <v>34.550000000000004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>
      <c r="A18" s="8">
        <v>7</v>
      </c>
      <c r="B18" s="19" t="s">
        <v>895</v>
      </c>
      <c r="C18" s="8">
        <v>1018</v>
      </c>
      <c r="D18" s="8">
        <v>50.900000000000006</v>
      </c>
      <c r="E18" s="8">
        <v>1018</v>
      </c>
      <c r="F18" s="8">
        <v>50.900000000000006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>
      <c r="A19" s="8">
        <v>8</v>
      </c>
      <c r="B19" s="19" t="s">
        <v>896</v>
      </c>
      <c r="C19" s="8">
        <v>576</v>
      </c>
      <c r="D19" s="8">
        <v>28.8</v>
      </c>
      <c r="E19" s="8">
        <v>576</v>
      </c>
      <c r="F19" s="8">
        <v>28.8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>
      <c r="A20" s="8">
        <v>9</v>
      </c>
      <c r="B20" s="19" t="s">
        <v>897</v>
      </c>
      <c r="C20" s="8">
        <v>443</v>
      </c>
      <c r="D20" s="8">
        <v>22.150000000000002</v>
      </c>
      <c r="E20" s="8">
        <v>443</v>
      </c>
      <c r="F20" s="8">
        <v>22.150000000000002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>
      <c r="A21" s="8">
        <v>10</v>
      </c>
      <c r="B21" s="19" t="s">
        <v>898</v>
      </c>
      <c r="C21" s="8">
        <v>717</v>
      </c>
      <c r="D21" s="8">
        <v>35.85</v>
      </c>
      <c r="E21" s="8">
        <v>717</v>
      </c>
      <c r="F21" s="8">
        <v>35.85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>
      <c r="A22" s="8">
        <v>11</v>
      </c>
      <c r="B22" s="19" t="s">
        <v>899</v>
      </c>
      <c r="C22" s="8">
        <v>1079</v>
      </c>
      <c r="D22" s="8">
        <v>53.95</v>
      </c>
      <c r="E22" s="8">
        <v>1079</v>
      </c>
      <c r="F22" s="8">
        <v>53.95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>
      <c r="A23" s="8">
        <v>12</v>
      </c>
      <c r="B23" s="19" t="s">
        <v>900</v>
      </c>
      <c r="C23" s="8">
        <v>885</v>
      </c>
      <c r="D23" s="8">
        <v>44.25</v>
      </c>
      <c r="E23" s="8">
        <v>885</v>
      </c>
      <c r="F23" s="8">
        <v>44.25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>
      <c r="A24" s="8">
        <v>13</v>
      </c>
      <c r="B24" s="19" t="s">
        <v>901</v>
      </c>
      <c r="C24" s="8">
        <v>506</v>
      </c>
      <c r="D24" s="8">
        <v>25.3</v>
      </c>
      <c r="E24" s="8">
        <v>506</v>
      </c>
      <c r="F24" s="8">
        <v>25.3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>
      <c r="A25" s="8">
        <v>14</v>
      </c>
      <c r="B25" s="19" t="s">
        <v>902</v>
      </c>
      <c r="C25" s="8">
        <v>769</v>
      </c>
      <c r="D25" s="8">
        <v>38.450000000000003</v>
      </c>
      <c r="E25" s="8">
        <v>769</v>
      </c>
      <c r="F25" s="8">
        <v>38.450000000000003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>
      <c r="A26" s="8">
        <v>15</v>
      </c>
      <c r="B26" s="19" t="s">
        <v>903</v>
      </c>
      <c r="C26" s="8">
        <v>623</v>
      </c>
      <c r="D26" s="8">
        <v>31.150000000000002</v>
      </c>
      <c r="E26" s="8">
        <v>623</v>
      </c>
      <c r="F26" s="8">
        <v>31.150000000000002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>
      <c r="A27" s="8">
        <v>16</v>
      </c>
      <c r="B27" s="19" t="s">
        <v>904</v>
      </c>
      <c r="C27" s="8">
        <v>445</v>
      </c>
      <c r="D27" s="8">
        <v>22.25</v>
      </c>
      <c r="E27" s="8">
        <v>445</v>
      </c>
      <c r="F27" s="8">
        <v>22.25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>
      <c r="A28" s="8">
        <v>17</v>
      </c>
      <c r="B28" s="19" t="s">
        <v>905</v>
      </c>
      <c r="C28" s="8">
        <v>1657</v>
      </c>
      <c r="D28" s="8">
        <v>82.850000000000009</v>
      </c>
      <c r="E28" s="8">
        <v>1657</v>
      </c>
      <c r="F28" s="8">
        <v>82.850000000000009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>
      <c r="A29" s="8">
        <v>18</v>
      </c>
      <c r="B29" s="19" t="s">
        <v>906</v>
      </c>
      <c r="C29" s="8">
        <v>406</v>
      </c>
      <c r="D29" s="8">
        <v>20.3</v>
      </c>
      <c r="E29" s="8">
        <v>406</v>
      </c>
      <c r="F29" s="8">
        <v>20.3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>
      <c r="A30" s="8">
        <v>19</v>
      </c>
      <c r="B30" s="19" t="s">
        <v>907</v>
      </c>
      <c r="C30" s="8">
        <v>1343</v>
      </c>
      <c r="D30" s="8">
        <v>67.150000000000006</v>
      </c>
      <c r="E30" s="8">
        <v>1343</v>
      </c>
      <c r="F30" s="8">
        <v>67.150000000000006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>
      <c r="A31" s="8">
        <v>20</v>
      </c>
      <c r="B31" s="19" t="s">
        <v>908</v>
      </c>
      <c r="C31" s="8">
        <v>624</v>
      </c>
      <c r="D31" s="8">
        <v>31.200000000000003</v>
      </c>
      <c r="E31" s="8">
        <v>624</v>
      </c>
      <c r="F31" s="8">
        <v>31.200000000000003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>
      <c r="A32" s="8">
        <v>21</v>
      </c>
      <c r="B32" s="19" t="s">
        <v>909</v>
      </c>
      <c r="C32" s="8">
        <v>525</v>
      </c>
      <c r="D32" s="8">
        <v>26.25</v>
      </c>
      <c r="E32" s="8">
        <v>525</v>
      </c>
      <c r="F32" s="8">
        <v>26.25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>
      <c r="A33" s="8">
        <v>22</v>
      </c>
      <c r="B33" s="19" t="s">
        <v>910</v>
      </c>
      <c r="C33" s="8">
        <v>1571</v>
      </c>
      <c r="D33" s="8">
        <v>78.550000000000011</v>
      </c>
      <c r="E33" s="8">
        <v>1571</v>
      </c>
      <c r="F33" s="8">
        <v>78.550000000000011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1">
      <c r="A34" s="8">
        <v>23</v>
      </c>
      <c r="B34" s="19" t="s">
        <v>911</v>
      </c>
      <c r="C34" s="8">
        <v>665</v>
      </c>
      <c r="D34" s="8">
        <v>33.25</v>
      </c>
      <c r="E34" s="8">
        <v>665</v>
      </c>
      <c r="F34" s="8">
        <v>33.25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1">
      <c r="A35" s="8">
        <v>24</v>
      </c>
      <c r="B35" s="19" t="s">
        <v>912</v>
      </c>
      <c r="C35" s="8">
        <v>437</v>
      </c>
      <c r="D35" s="8">
        <v>21.85</v>
      </c>
      <c r="E35" s="8">
        <v>437</v>
      </c>
      <c r="F35" s="8">
        <v>21.85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1">
      <c r="A36" s="8">
        <v>25</v>
      </c>
      <c r="B36" s="19" t="s">
        <v>913</v>
      </c>
      <c r="C36" s="8">
        <v>875</v>
      </c>
      <c r="D36" s="8">
        <v>43.75</v>
      </c>
      <c r="E36" s="8">
        <v>875</v>
      </c>
      <c r="F36" s="8">
        <v>43.75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1">
      <c r="A37" s="8">
        <v>26</v>
      </c>
      <c r="B37" s="19" t="s">
        <v>914</v>
      </c>
      <c r="C37" s="8">
        <v>2450</v>
      </c>
      <c r="D37" s="8">
        <v>122.5</v>
      </c>
      <c r="E37" s="8">
        <v>2450</v>
      </c>
      <c r="F37" s="8">
        <v>122.5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1">
      <c r="A38" s="8">
        <v>27</v>
      </c>
      <c r="B38" s="19" t="s">
        <v>915</v>
      </c>
      <c r="C38" s="8">
        <v>613</v>
      </c>
      <c r="D38" s="8">
        <v>30.650000000000002</v>
      </c>
      <c r="E38" s="8">
        <v>613</v>
      </c>
      <c r="F38" s="8">
        <v>30.650000000000002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1">
      <c r="A39" s="8">
        <v>28</v>
      </c>
      <c r="B39" s="19" t="s">
        <v>916</v>
      </c>
      <c r="C39" s="8">
        <v>354</v>
      </c>
      <c r="D39" s="8">
        <v>17.7</v>
      </c>
      <c r="E39" s="8">
        <v>354</v>
      </c>
      <c r="F39" s="8">
        <v>17.7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1">
      <c r="A40" s="8">
        <v>29</v>
      </c>
      <c r="B40" s="19" t="s">
        <v>917</v>
      </c>
      <c r="C40" s="8">
        <v>386</v>
      </c>
      <c r="D40" s="8">
        <v>19.3</v>
      </c>
      <c r="E40" s="8">
        <v>386</v>
      </c>
      <c r="F40" s="8">
        <v>19.3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1">
      <c r="A41" s="8">
        <v>30</v>
      </c>
      <c r="B41" s="19" t="s">
        <v>918</v>
      </c>
      <c r="C41" s="8">
        <v>709</v>
      </c>
      <c r="D41" s="8">
        <v>35.450000000000003</v>
      </c>
      <c r="E41" s="8">
        <v>709</v>
      </c>
      <c r="F41" s="8">
        <v>35.450000000000003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1">
      <c r="A42" s="8">
        <v>31</v>
      </c>
      <c r="B42" s="19" t="s">
        <v>919</v>
      </c>
      <c r="C42" s="8">
        <v>549</v>
      </c>
      <c r="D42" s="8">
        <v>27.450000000000003</v>
      </c>
      <c r="E42" s="8">
        <v>549</v>
      </c>
      <c r="F42" s="8">
        <v>27.450000000000003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>
      <c r="A43" s="8">
        <v>32</v>
      </c>
      <c r="B43" s="19" t="s">
        <v>920</v>
      </c>
      <c r="C43" s="8">
        <v>497</v>
      </c>
      <c r="D43" s="8">
        <v>24.85</v>
      </c>
      <c r="E43" s="8">
        <v>497</v>
      </c>
      <c r="F43" s="8">
        <v>24.85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>
      <c r="A44" s="8">
        <v>33</v>
      </c>
      <c r="B44" s="19" t="s">
        <v>921</v>
      </c>
      <c r="C44" s="8">
        <v>1765</v>
      </c>
      <c r="D44" s="8">
        <v>88.25</v>
      </c>
      <c r="E44" s="8">
        <v>1765</v>
      </c>
      <c r="F44" s="8">
        <v>88.25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</row>
    <row r="45" spans="1:11" s="12" customFormat="1">
      <c r="A45" s="3" t="s">
        <v>19</v>
      </c>
      <c r="B45" s="9"/>
      <c r="C45" s="8">
        <f>SUM(C12:C44)</f>
        <v>30939</v>
      </c>
      <c r="D45" s="8">
        <f>SUM(D12:D44)</f>
        <v>1546.95</v>
      </c>
      <c r="E45" s="8">
        <f>SUM(E12:E44)</f>
        <v>30939</v>
      </c>
      <c r="F45" s="8">
        <f>SUM(F12:F44)</f>
        <v>1546.95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</row>
    <row r="46" spans="1:11" s="12" customFormat="1"/>
    <row r="47" spans="1:11" s="12" customFormat="1">
      <c r="A47" s="10" t="s">
        <v>44</v>
      </c>
    </row>
    <row r="48" spans="1:11" ht="15.75" customHeight="1">
      <c r="C48" s="928"/>
      <c r="D48" s="928"/>
      <c r="E48" s="928"/>
      <c r="F48" s="928"/>
    </row>
    <row r="49" spans="1:16" s="15" customFormat="1" ht="13.9" customHeight="1">
      <c r="B49" s="88"/>
      <c r="C49" s="88"/>
      <c r="D49" s="88"/>
      <c r="E49" s="88"/>
      <c r="F49" s="88"/>
      <c r="G49" s="88"/>
      <c r="H49" s="88"/>
      <c r="I49" s="866" t="s">
        <v>13</v>
      </c>
      <c r="J49" s="866"/>
      <c r="K49" s="88"/>
      <c r="L49" s="88"/>
      <c r="M49" s="88"/>
      <c r="N49" s="88"/>
      <c r="O49" s="88"/>
      <c r="P49" s="88"/>
    </row>
    <row r="50" spans="1:16" s="15" customFormat="1" ht="13.15" customHeight="1">
      <c r="A50" s="871" t="s">
        <v>14</v>
      </c>
      <c r="B50" s="871"/>
      <c r="C50" s="871"/>
      <c r="D50" s="871"/>
      <c r="E50" s="871"/>
      <c r="F50" s="871"/>
      <c r="G50" s="871"/>
      <c r="H50" s="871"/>
      <c r="I50" s="871"/>
      <c r="J50" s="871"/>
      <c r="K50" s="88"/>
      <c r="L50" s="88"/>
      <c r="M50" s="88"/>
      <c r="N50" s="88"/>
      <c r="O50" s="88"/>
      <c r="P50" s="88"/>
    </row>
    <row r="51" spans="1:16" s="15" customFormat="1" ht="13.15" customHeight="1">
      <c r="A51" s="871" t="s">
        <v>20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8"/>
      <c r="L51" s="88"/>
      <c r="M51" s="88"/>
      <c r="N51" s="88"/>
      <c r="O51" s="88"/>
      <c r="P51" s="88"/>
    </row>
    <row r="52" spans="1:16" s="15" customFormat="1">
      <c r="A52" s="14" t="s">
        <v>23</v>
      </c>
      <c r="B52" s="14"/>
      <c r="C52" s="14"/>
      <c r="D52" s="14"/>
      <c r="E52" s="14"/>
      <c r="F52" s="14"/>
      <c r="H52" s="851" t="s">
        <v>24</v>
      </c>
      <c r="I52" s="851"/>
    </row>
    <row r="53" spans="1:16" s="15" customFormat="1">
      <c r="A53" s="14"/>
    </row>
    <row r="54" spans="1:16">
      <c r="A54" s="927"/>
      <c r="B54" s="927"/>
      <c r="C54" s="927"/>
      <c r="D54" s="927"/>
      <c r="E54" s="927"/>
      <c r="F54" s="927"/>
      <c r="G54" s="927"/>
      <c r="H54" s="927"/>
      <c r="I54" s="927"/>
      <c r="J54" s="927"/>
    </row>
  </sheetData>
  <mergeCells count="21">
    <mergeCell ref="A54:J54"/>
    <mergeCell ref="K9:K10"/>
    <mergeCell ref="C48:F48"/>
    <mergeCell ref="I49:J49"/>
    <mergeCell ref="A50:J50"/>
    <mergeCell ref="A51:J51"/>
    <mergeCell ref="H52:I52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</mergeCells>
  <printOptions horizontalCentered="1"/>
  <pageMargins left="0.70866141732283472" right="0.70866141732283472" top="0.23622047244094491" bottom="0" header="0.31496062992125984" footer="0.31496062992125984"/>
  <pageSetup paperSize="9" scale="7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49"/>
  <sheetViews>
    <sheetView view="pageBreakPreview" topLeftCell="A10" zoomScaleSheetLayoutView="100" workbookViewId="0">
      <selection activeCell="G37" sqref="G37"/>
    </sheetView>
  </sheetViews>
  <sheetFormatPr defaultRowHeight="12.75"/>
  <cols>
    <col min="1" max="1" width="7.140625" customWidth="1"/>
    <col min="2" max="2" width="14.85546875" customWidth="1"/>
    <col min="3" max="3" width="14.5703125" customWidth="1"/>
    <col min="4" max="4" width="16.5703125" style="317" customWidth="1"/>
    <col min="5" max="8" width="18.42578125" style="317" customWidth="1"/>
  </cols>
  <sheetData>
    <row r="1" spans="1:15">
      <c r="H1" s="322" t="s">
        <v>519</v>
      </c>
    </row>
    <row r="2" spans="1:15" ht="18">
      <c r="A2" s="919" t="s">
        <v>0</v>
      </c>
      <c r="B2" s="919"/>
      <c r="C2" s="919"/>
      <c r="D2" s="919"/>
      <c r="E2" s="919"/>
      <c r="F2" s="919"/>
      <c r="G2" s="919"/>
      <c r="H2" s="919"/>
      <c r="I2" s="249"/>
      <c r="J2" s="249"/>
      <c r="K2" s="249"/>
      <c r="L2" s="249"/>
      <c r="M2" s="249"/>
      <c r="N2" s="249"/>
      <c r="O2" s="249"/>
    </row>
    <row r="3" spans="1:15" ht="21">
      <c r="A3" s="920" t="s">
        <v>705</v>
      </c>
      <c r="B3" s="920"/>
      <c r="C3" s="920"/>
      <c r="D3" s="920"/>
      <c r="E3" s="920"/>
      <c r="F3" s="920"/>
      <c r="G3" s="920"/>
      <c r="H3" s="920"/>
      <c r="I3" s="250"/>
      <c r="J3" s="250"/>
      <c r="K3" s="250"/>
      <c r="L3" s="250"/>
      <c r="M3" s="250"/>
      <c r="N3" s="250"/>
      <c r="O3" s="250"/>
    </row>
    <row r="4" spans="1:15" ht="15">
      <c r="A4" s="217"/>
      <c r="B4" s="217"/>
      <c r="C4" s="217"/>
      <c r="D4" s="314"/>
      <c r="E4" s="314"/>
      <c r="F4" s="314"/>
      <c r="G4" s="314"/>
      <c r="H4" s="314"/>
      <c r="I4" s="217"/>
      <c r="J4" s="217"/>
      <c r="K4" s="217"/>
      <c r="L4" s="217"/>
      <c r="M4" s="217"/>
      <c r="N4" s="217"/>
      <c r="O4" s="217"/>
    </row>
    <row r="5" spans="1:15" ht="18">
      <c r="A5" s="919" t="s">
        <v>518</v>
      </c>
      <c r="B5" s="919"/>
      <c r="C5" s="919"/>
      <c r="D5" s="919"/>
      <c r="E5" s="919"/>
      <c r="F5" s="919"/>
      <c r="G5" s="919"/>
      <c r="H5" s="919"/>
      <c r="I5" s="249"/>
      <c r="J5" s="249"/>
      <c r="K5" s="249"/>
      <c r="L5" s="249"/>
      <c r="M5" s="249"/>
      <c r="N5" s="249"/>
      <c r="O5" s="249"/>
    </row>
    <row r="6" spans="1:15" ht="15">
      <c r="A6" s="218" t="s">
        <v>922</v>
      </c>
      <c r="B6" s="218"/>
      <c r="C6" s="217"/>
      <c r="D6" s="314"/>
      <c r="E6" s="314"/>
      <c r="F6" s="1034" t="s">
        <v>784</v>
      </c>
      <c r="G6" s="1034"/>
      <c r="H6" s="1034"/>
      <c r="I6" s="217"/>
      <c r="J6" s="217"/>
      <c r="K6" s="217"/>
      <c r="L6" s="251"/>
      <c r="M6" s="251"/>
      <c r="N6" s="1032"/>
      <c r="O6" s="1032"/>
    </row>
    <row r="7" spans="1:15" ht="31.5" customHeight="1">
      <c r="A7" s="1012" t="s">
        <v>2</v>
      </c>
      <c r="B7" s="1012" t="s">
        <v>3</v>
      </c>
      <c r="C7" s="1033" t="s">
        <v>392</v>
      </c>
      <c r="D7" s="1035" t="s">
        <v>496</v>
      </c>
      <c r="E7" s="1036"/>
      <c r="F7" s="1036"/>
      <c r="G7" s="1036"/>
      <c r="H7" s="1037"/>
    </row>
    <row r="8" spans="1:15" ht="34.5" customHeight="1">
      <c r="A8" s="1012"/>
      <c r="B8" s="1012"/>
      <c r="C8" s="1033"/>
      <c r="D8" s="315" t="s">
        <v>497</v>
      </c>
      <c r="E8" s="315" t="s">
        <v>498</v>
      </c>
      <c r="F8" s="315" t="s">
        <v>499</v>
      </c>
      <c r="G8" s="315" t="s">
        <v>655</v>
      </c>
      <c r="H8" s="315" t="s">
        <v>50</v>
      </c>
    </row>
    <row r="9" spans="1:15" ht="15">
      <c r="A9" s="235">
        <v>1</v>
      </c>
      <c r="B9" s="235">
        <v>2</v>
      </c>
      <c r="C9" s="235">
        <v>3</v>
      </c>
      <c r="D9" s="235">
        <v>4</v>
      </c>
      <c r="E9" s="235">
        <v>5</v>
      </c>
      <c r="F9" s="235">
        <v>6</v>
      </c>
      <c r="G9" s="235">
        <v>7</v>
      </c>
      <c r="H9" s="235">
        <v>8</v>
      </c>
    </row>
    <row r="10" spans="1:15" ht="14.25">
      <c r="A10" s="457">
        <v>1</v>
      </c>
      <c r="B10" s="385" t="s">
        <v>889</v>
      </c>
      <c r="C10" s="8">
        <v>1891</v>
      </c>
      <c r="D10" s="8">
        <f>C10-G10</f>
        <v>1783</v>
      </c>
      <c r="E10" s="483">
        <v>0</v>
      </c>
      <c r="F10" s="483">
        <v>0</v>
      </c>
      <c r="G10" s="483">
        <v>108</v>
      </c>
      <c r="H10" s="483">
        <v>0</v>
      </c>
    </row>
    <row r="11" spans="1:15" ht="14.25">
      <c r="A11" s="457">
        <v>2</v>
      </c>
      <c r="B11" s="385" t="s">
        <v>890</v>
      </c>
      <c r="C11" s="8">
        <v>2873</v>
      </c>
      <c r="D11" s="8">
        <f t="shared" ref="D11:D42" si="0">C11-G11</f>
        <v>2471</v>
      </c>
      <c r="E11" s="483">
        <v>0</v>
      </c>
      <c r="F11" s="483">
        <v>0</v>
      </c>
      <c r="G11" s="483">
        <v>402</v>
      </c>
      <c r="H11" s="483">
        <v>0</v>
      </c>
    </row>
    <row r="12" spans="1:15" ht="14.25">
      <c r="A12" s="457">
        <v>3</v>
      </c>
      <c r="B12" s="385" t="s">
        <v>891</v>
      </c>
      <c r="C12" s="8">
        <v>2683</v>
      </c>
      <c r="D12" s="8">
        <f t="shared" si="0"/>
        <v>2683</v>
      </c>
      <c r="E12" s="483">
        <v>0</v>
      </c>
      <c r="F12" s="483">
        <v>0</v>
      </c>
      <c r="G12" s="483"/>
      <c r="H12" s="483">
        <v>0</v>
      </c>
    </row>
    <row r="13" spans="1:15" ht="14.25">
      <c r="A13" s="457">
        <v>4</v>
      </c>
      <c r="B13" s="385" t="s">
        <v>892</v>
      </c>
      <c r="C13" s="8">
        <v>1315</v>
      </c>
      <c r="D13" s="8">
        <f t="shared" si="0"/>
        <v>1315</v>
      </c>
      <c r="E13" s="483">
        <v>0</v>
      </c>
      <c r="F13" s="483">
        <v>0</v>
      </c>
      <c r="G13" s="483"/>
      <c r="H13" s="483">
        <v>0</v>
      </c>
    </row>
    <row r="14" spans="1:15" ht="14.25">
      <c r="A14" s="457">
        <v>5</v>
      </c>
      <c r="B14" s="385" t="s">
        <v>893</v>
      </c>
      <c r="C14" s="8">
        <v>4902</v>
      </c>
      <c r="D14" s="8">
        <f t="shared" si="0"/>
        <v>4902</v>
      </c>
      <c r="E14" s="483">
        <v>0</v>
      </c>
      <c r="F14" s="483">
        <v>0</v>
      </c>
      <c r="G14" s="483"/>
      <c r="H14" s="483">
        <v>0</v>
      </c>
    </row>
    <row r="15" spans="1:15" ht="14.25">
      <c r="A15" s="457">
        <v>6</v>
      </c>
      <c r="B15" s="385" t="s">
        <v>894</v>
      </c>
      <c r="C15" s="8">
        <v>1748</v>
      </c>
      <c r="D15" s="8">
        <f t="shared" si="0"/>
        <v>1748</v>
      </c>
      <c r="E15" s="483">
        <v>0</v>
      </c>
      <c r="F15" s="483">
        <v>0</v>
      </c>
      <c r="G15" s="483"/>
      <c r="H15" s="483">
        <v>0</v>
      </c>
    </row>
    <row r="16" spans="1:15" ht="14.25">
      <c r="A16" s="457">
        <v>7</v>
      </c>
      <c r="B16" s="385" t="s">
        <v>895</v>
      </c>
      <c r="C16" s="8">
        <v>2911</v>
      </c>
      <c r="D16" s="8">
        <f t="shared" si="0"/>
        <v>2829</v>
      </c>
      <c r="E16" s="483">
        <v>0</v>
      </c>
      <c r="F16" s="483">
        <v>0</v>
      </c>
      <c r="G16" s="483">
        <v>82</v>
      </c>
      <c r="H16" s="483">
        <v>0</v>
      </c>
    </row>
    <row r="17" spans="1:8" ht="14.25">
      <c r="A17" s="457">
        <v>8</v>
      </c>
      <c r="B17" s="385" t="s">
        <v>896</v>
      </c>
      <c r="C17" s="8">
        <v>1975</v>
      </c>
      <c r="D17" s="8">
        <f t="shared" si="0"/>
        <v>1796</v>
      </c>
      <c r="E17" s="483">
        <v>0</v>
      </c>
      <c r="F17" s="483">
        <v>0</v>
      </c>
      <c r="G17" s="483">
        <v>179</v>
      </c>
      <c r="H17" s="483">
        <v>0</v>
      </c>
    </row>
    <row r="18" spans="1:8" ht="14.25">
      <c r="A18" s="457">
        <v>9</v>
      </c>
      <c r="B18" s="385" t="s">
        <v>897</v>
      </c>
      <c r="C18" s="8">
        <v>1280</v>
      </c>
      <c r="D18" s="8">
        <f t="shared" si="0"/>
        <v>1280</v>
      </c>
      <c r="E18" s="483">
        <v>0</v>
      </c>
      <c r="F18" s="483">
        <v>0</v>
      </c>
      <c r="G18" s="483"/>
      <c r="H18" s="483">
        <v>0</v>
      </c>
    </row>
    <row r="19" spans="1:8" ht="14.25">
      <c r="A19" s="457">
        <v>10</v>
      </c>
      <c r="B19" s="385" t="s">
        <v>898</v>
      </c>
      <c r="C19" s="8">
        <v>1832</v>
      </c>
      <c r="D19" s="8">
        <f t="shared" si="0"/>
        <v>1832</v>
      </c>
      <c r="E19" s="483">
        <v>0</v>
      </c>
      <c r="F19" s="483">
        <v>0</v>
      </c>
      <c r="G19" s="483"/>
      <c r="H19" s="483">
        <v>0</v>
      </c>
    </row>
    <row r="20" spans="1:8" ht="14.25">
      <c r="A20" s="457">
        <v>11</v>
      </c>
      <c r="B20" s="385" t="s">
        <v>899</v>
      </c>
      <c r="C20" s="8">
        <v>1414</v>
      </c>
      <c r="D20" s="8">
        <f t="shared" si="0"/>
        <v>1414</v>
      </c>
      <c r="E20" s="483">
        <v>0</v>
      </c>
      <c r="F20" s="483">
        <v>0</v>
      </c>
      <c r="G20" s="483"/>
      <c r="H20" s="483">
        <v>0</v>
      </c>
    </row>
    <row r="21" spans="1:8" ht="14.25">
      <c r="A21" s="457">
        <v>12</v>
      </c>
      <c r="B21" s="385" t="s">
        <v>900</v>
      </c>
      <c r="C21" s="8">
        <v>1534</v>
      </c>
      <c r="D21" s="8">
        <f t="shared" si="0"/>
        <v>1534</v>
      </c>
      <c r="E21" s="483">
        <v>0</v>
      </c>
      <c r="F21" s="483">
        <v>0</v>
      </c>
      <c r="G21" s="483"/>
      <c r="H21" s="483">
        <v>0</v>
      </c>
    </row>
    <row r="22" spans="1:8" ht="14.25">
      <c r="A22" s="457">
        <v>13</v>
      </c>
      <c r="B22" s="385" t="s">
        <v>901</v>
      </c>
      <c r="C22" s="8">
        <v>1150</v>
      </c>
      <c r="D22" s="8">
        <f t="shared" si="0"/>
        <v>1150</v>
      </c>
      <c r="E22" s="483">
        <v>0</v>
      </c>
      <c r="F22" s="483">
        <v>0</v>
      </c>
      <c r="G22" s="483"/>
      <c r="H22" s="483">
        <v>0</v>
      </c>
    </row>
    <row r="23" spans="1:8" ht="14.25">
      <c r="A23" s="457">
        <v>14</v>
      </c>
      <c r="B23" s="385" t="s">
        <v>902</v>
      </c>
      <c r="C23" s="178">
        <v>2239</v>
      </c>
      <c r="D23" s="8">
        <f t="shared" si="0"/>
        <v>2239</v>
      </c>
      <c r="E23" s="483">
        <v>0</v>
      </c>
      <c r="F23" s="483">
        <v>0</v>
      </c>
      <c r="G23" s="512"/>
      <c r="H23" s="483">
        <v>0</v>
      </c>
    </row>
    <row r="24" spans="1:8" ht="14.25">
      <c r="A24" s="457">
        <v>15</v>
      </c>
      <c r="B24" s="385" t="s">
        <v>903</v>
      </c>
      <c r="C24" s="178">
        <v>1924</v>
      </c>
      <c r="D24" s="8">
        <f t="shared" si="0"/>
        <v>1924</v>
      </c>
      <c r="E24" s="483">
        <v>0</v>
      </c>
      <c r="F24" s="483">
        <v>0</v>
      </c>
      <c r="G24" s="512"/>
      <c r="H24" s="483">
        <v>0</v>
      </c>
    </row>
    <row r="25" spans="1:8" ht="14.25">
      <c r="A25" s="457">
        <v>16</v>
      </c>
      <c r="B25" s="385" t="s">
        <v>904</v>
      </c>
      <c r="C25" s="178">
        <v>1094</v>
      </c>
      <c r="D25" s="8">
        <f t="shared" si="0"/>
        <v>1094</v>
      </c>
      <c r="E25" s="483">
        <v>0</v>
      </c>
      <c r="F25" s="483">
        <v>0</v>
      </c>
      <c r="G25" s="512"/>
      <c r="H25" s="483">
        <v>0</v>
      </c>
    </row>
    <row r="26" spans="1:8" ht="14.25">
      <c r="A26" s="457">
        <v>17</v>
      </c>
      <c r="B26" s="385" t="s">
        <v>905</v>
      </c>
      <c r="C26" s="178">
        <v>3651</v>
      </c>
      <c r="D26" s="8">
        <f t="shared" si="0"/>
        <v>1639</v>
      </c>
      <c r="E26" s="483">
        <v>0</v>
      </c>
      <c r="F26" s="483">
        <v>0</v>
      </c>
      <c r="G26" s="512">
        <v>2012</v>
      </c>
      <c r="H26" s="483">
        <v>0</v>
      </c>
    </row>
    <row r="27" spans="1:8" ht="14.25">
      <c r="A27" s="457">
        <v>18</v>
      </c>
      <c r="B27" s="385" t="s">
        <v>906</v>
      </c>
      <c r="C27" s="178">
        <v>1280</v>
      </c>
      <c r="D27" s="8">
        <f t="shared" si="0"/>
        <v>1280</v>
      </c>
      <c r="E27" s="483">
        <v>0</v>
      </c>
      <c r="F27" s="483">
        <v>0</v>
      </c>
      <c r="G27" s="512"/>
      <c r="H27" s="483">
        <v>0</v>
      </c>
    </row>
    <row r="28" spans="1:8" ht="14.25">
      <c r="A28" s="457">
        <v>19</v>
      </c>
      <c r="B28" s="385" t="s">
        <v>907</v>
      </c>
      <c r="C28" s="178">
        <v>1908</v>
      </c>
      <c r="D28" s="8">
        <f t="shared" si="0"/>
        <v>1908</v>
      </c>
      <c r="E28" s="483">
        <v>0</v>
      </c>
      <c r="F28" s="483">
        <v>0</v>
      </c>
      <c r="G28" s="512"/>
      <c r="H28" s="483">
        <v>0</v>
      </c>
    </row>
    <row r="29" spans="1:8" ht="14.25">
      <c r="A29" s="457">
        <v>20</v>
      </c>
      <c r="B29" s="385" t="s">
        <v>908</v>
      </c>
      <c r="C29" s="178">
        <v>1754</v>
      </c>
      <c r="D29" s="8">
        <f t="shared" si="0"/>
        <v>1607</v>
      </c>
      <c r="E29" s="483">
        <v>0</v>
      </c>
      <c r="F29" s="483">
        <v>0</v>
      </c>
      <c r="G29" s="512">
        <v>147</v>
      </c>
      <c r="H29" s="483">
        <v>0</v>
      </c>
    </row>
    <row r="30" spans="1:8" ht="14.25">
      <c r="A30" s="457">
        <v>21</v>
      </c>
      <c r="B30" s="385" t="s">
        <v>909</v>
      </c>
      <c r="C30" s="178">
        <v>1554</v>
      </c>
      <c r="D30" s="8">
        <f t="shared" si="0"/>
        <v>1554</v>
      </c>
      <c r="E30" s="483">
        <v>0</v>
      </c>
      <c r="F30" s="483">
        <v>0</v>
      </c>
      <c r="G30" s="512"/>
      <c r="H30" s="483">
        <v>0</v>
      </c>
    </row>
    <row r="31" spans="1:8" ht="14.25">
      <c r="A31" s="457">
        <v>22</v>
      </c>
      <c r="B31" s="385" t="s">
        <v>910</v>
      </c>
      <c r="C31" s="178">
        <v>3507</v>
      </c>
      <c r="D31" s="8">
        <f t="shared" si="0"/>
        <v>3115</v>
      </c>
      <c r="E31" s="483">
        <v>0</v>
      </c>
      <c r="F31" s="483">
        <v>0</v>
      </c>
      <c r="G31" s="512">
        <v>392</v>
      </c>
      <c r="H31" s="483">
        <v>0</v>
      </c>
    </row>
    <row r="32" spans="1:8" ht="14.25">
      <c r="A32" s="457">
        <v>23</v>
      </c>
      <c r="B32" s="385" t="s">
        <v>911</v>
      </c>
      <c r="C32" s="178">
        <v>1413</v>
      </c>
      <c r="D32" s="8">
        <f t="shared" si="0"/>
        <v>1413</v>
      </c>
      <c r="E32" s="483">
        <v>0</v>
      </c>
      <c r="F32" s="483">
        <v>0</v>
      </c>
      <c r="G32" s="512"/>
      <c r="H32" s="483">
        <v>0</v>
      </c>
    </row>
    <row r="33" spans="1:9" ht="14.25">
      <c r="A33" s="457">
        <v>24</v>
      </c>
      <c r="B33" s="385" t="s">
        <v>912</v>
      </c>
      <c r="C33" s="178">
        <v>1146</v>
      </c>
      <c r="D33" s="8">
        <f t="shared" si="0"/>
        <v>1146</v>
      </c>
      <c r="E33" s="483">
        <v>0</v>
      </c>
      <c r="F33" s="483">
        <v>0</v>
      </c>
      <c r="G33" s="512"/>
      <c r="H33" s="483">
        <v>0</v>
      </c>
    </row>
    <row r="34" spans="1:9" ht="14.25">
      <c r="A34" s="457">
        <v>25</v>
      </c>
      <c r="B34" s="385" t="s">
        <v>913</v>
      </c>
      <c r="C34" s="178">
        <v>3117</v>
      </c>
      <c r="D34" s="8">
        <f t="shared" si="0"/>
        <v>3117</v>
      </c>
      <c r="E34" s="483">
        <v>0</v>
      </c>
      <c r="F34" s="483">
        <v>0</v>
      </c>
      <c r="G34" s="512"/>
      <c r="H34" s="483">
        <v>0</v>
      </c>
    </row>
    <row r="35" spans="1:9" ht="14.25">
      <c r="A35" s="457">
        <v>26</v>
      </c>
      <c r="B35" s="385" t="s">
        <v>914</v>
      </c>
      <c r="C35" s="178">
        <v>1811</v>
      </c>
      <c r="D35" s="8">
        <f t="shared" si="0"/>
        <v>1811</v>
      </c>
      <c r="E35" s="483">
        <v>0</v>
      </c>
      <c r="F35" s="483">
        <v>0</v>
      </c>
      <c r="G35" s="512"/>
      <c r="H35" s="483">
        <v>0</v>
      </c>
    </row>
    <row r="36" spans="1:9" ht="14.25">
      <c r="A36" s="457">
        <v>27</v>
      </c>
      <c r="B36" s="385" t="s">
        <v>915</v>
      </c>
      <c r="C36" s="178">
        <v>1355</v>
      </c>
      <c r="D36" s="8">
        <f t="shared" si="0"/>
        <v>1355</v>
      </c>
      <c r="E36" s="483">
        <v>0</v>
      </c>
      <c r="F36" s="483">
        <v>0</v>
      </c>
      <c r="G36" s="512"/>
      <c r="H36" s="483">
        <v>0</v>
      </c>
    </row>
    <row r="37" spans="1:9" ht="14.25">
      <c r="A37" s="457">
        <v>28</v>
      </c>
      <c r="B37" s="385" t="s">
        <v>916</v>
      </c>
      <c r="C37" s="178">
        <v>1687</v>
      </c>
      <c r="D37" s="8">
        <f t="shared" si="0"/>
        <v>1100</v>
      </c>
      <c r="E37" s="483">
        <v>0</v>
      </c>
      <c r="F37" s="483">
        <v>0</v>
      </c>
      <c r="G37" s="512">
        <v>587</v>
      </c>
      <c r="H37" s="483">
        <v>0</v>
      </c>
    </row>
    <row r="38" spans="1:9" ht="14.25">
      <c r="A38" s="457">
        <v>29</v>
      </c>
      <c r="B38" s="385" t="s">
        <v>917</v>
      </c>
      <c r="C38" s="178">
        <v>1123</v>
      </c>
      <c r="D38" s="8">
        <f t="shared" si="0"/>
        <v>1123</v>
      </c>
      <c r="E38" s="483">
        <v>0</v>
      </c>
      <c r="F38" s="483">
        <v>0</v>
      </c>
      <c r="G38" s="512"/>
      <c r="H38" s="483">
        <v>0</v>
      </c>
    </row>
    <row r="39" spans="1:9" ht="14.25">
      <c r="A39" s="457">
        <v>30</v>
      </c>
      <c r="B39" s="385" t="s">
        <v>918</v>
      </c>
      <c r="C39" s="178">
        <v>1945</v>
      </c>
      <c r="D39" s="8">
        <f t="shared" si="0"/>
        <v>1945</v>
      </c>
      <c r="E39" s="483">
        <v>0</v>
      </c>
      <c r="F39" s="483">
        <v>0</v>
      </c>
      <c r="G39" s="512"/>
      <c r="H39" s="483">
        <v>0</v>
      </c>
    </row>
    <row r="40" spans="1:9" ht="14.25">
      <c r="A40" s="457">
        <v>31</v>
      </c>
      <c r="B40" s="385" t="s">
        <v>919</v>
      </c>
      <c r="C40" s="178">
        <v>929</v>
      </c>
      <c r="D40" s="8">
        <f t="shared" si="0"/>
        <v>929</v>
      </c>
      <c r="E40" s="483">
        <v>0</v>
      </c>
      <c r="F40" s="483">
        <v>0</v>
      </c>
      <c r="G40" s="512"/>
      <c r="H40" s="483">
        <v>0</v>
      </c>
    </row>
    <row r="41" spans="1:9" ht="14.25">
      <c r="A41" s="457">
        <v>32</v>
      </c>
      <c r="B41" s="385" t="s">
        <v>920</v>
      </c>
      <c r="C41" s="178">
        <v>1575</v>
      </c>
      <c r="D41" s="8">
        <f t="shared" si="0"/>
        <v>1575</v>
      </c>
      <c r="E41" s="483">
        <v>0</v>
      </c>
      <c r="F41" s="483">
        <v>0</v>
      </c>
      <c r="G41" s="512"/>
      <c r="H41" s="483">
        <v>0</v>
      </c>
    </row>
    <row r="42" spans="1:9" ht="14.25">
      <c r="A42" s="457">
        <v>33</v>
      </c>
      <c r="B42" s="385" t="s">
        <v>921</v>
      </c>
      <c r="C42" s="178">
        <v>3973</v>
      </c>
      <c r="D42" s="8">
        <f t="shared" si="0"/>
        <v>3774</v>
      </c>
      <c r="E42" s="483">
        <v>0</v>
      </c>
      <c r="F42" s="483">
        <v>0</v>
      </c>
      <c r="G42" s="512">
        <v>199</v>
      </c>
      <c r="H42" s="483">
        <v>0</v>
      </c>
    </row>
    <row r="43" spans="1:9" ht="15" customHeight="1">
      <c r="A43" s="156" t="s">
        <v>19</v>
      </c>
      <c r="B43" s="156"/>
      <c r="C43" s="178">
        <v>66493</v>
      </c>
      <c r="D43" s="178">
        <f>SUM(D10:D42)</f>
        <v>62385</v>
      </c>
      <c r="E43" s="461">
        <f>SUM(E10:E42)</f>
        <v>0</v>
      </c>
      <c r="F43" s="153">
        <f>SUM(F10:F42)</f>
        <v>0</v>
      </c>
      <c r="G43" s="153">
        <f>SUM(G10:G42)</f>
        <v>4108</v>
      </c>
      <c r="H43" s="461">
        <f>SUM(H10:H42)</f>
        <v>0</v>
      </c>
    </row>
    <row r="44" spans="1:9" ht="15" customHeight="1">
      <c r="A44" s="224"/>
      <c r="B44" s="224"/>
      <c r="C44" s="224"/>
      <c r="D44" s="225"/>
      <c r="E44" s="225"/>
      <c r="F44" s="225"/>
      <c r="G44" s="225"/>
      <c r="H44" s="225"/>
    </row>
    <row r="45" spans="1:9" ht="15" customHeight="1">
      <c r="A45" s="224"/>
      <c r="B45" s="224"/>
      <c r="C45" s="224"/>
      <c r="D45" s="225"/>
      <c r="E45" s="225"/>
      <c r="F45" s="225"/>
      <c r="G45" s="225"/>
      <c r="H45" s="225"/>
    </row>
    <row r="46" spans="1:9" ht="15" customHeight="1">
      <c r="A46" s="224"/>
      <c r="B46" s="224"/>
      <c r="C46" s="224"/>
      <c r="D46" s="917" t="s">
        <v>13</v>
      </c>
      <c r="E46" s="917"/>
      <c r="F46" s="917"/>
      <c r="G46" s="917"/>
      <c r="H46" s="917"/>
      <c r="I46" s="917"/>
    </row>
    <row r="47" spans="1:9">
      <c r="A47" s="224" t="s">
        <v>12</v>
      </c>
      <c r="C47" s="224"/>
      <c r="D47" s="917" t="s">
        <v>14</v>
      </c>
      <c r="E47" s="917"/>
      <c r="F47" s="917"/>
      <c r="G47" s="917"/>
      <c r="H47" s="917"/>
      <c r="I47" s="917"/>
    </row>
    <row r="48" spans="1:9">
      <c r="D48" s="917" t="s">
        <v>90</v>
      </c>
      <c r="E48" s="917"/>
      <c r="F48" s="917"/>
      <c r="G48" s="917"/>
      <c r="H48" s="917"/>
      <c r="I48" s="917"/>
    </row>
    <row r="49" spans="4:9">
      <c r="D49" s="918" t="s">
        <v>87</v>
      </c>
      <c r="E49" s="918"/>
      <c r="F49" s="918"/>
      <c r="G49" s="918"/>
      <c r="H49" s="918"/>
      <c r="I49" s="224"/>
    </row>
  </sheetData>
  <mergeCells count="13">
    <mergeCell ref="D47:I47"/>
    <mergeCell ref="D48:I48"/>
    <mergeCell ref="D49:H49"/>
    <mergeCell ref="A2:H2"/>
    <mergeCell ref="A3:H3"/>
    <mergeCell ref="A5:H5"/>
    <mergeCell ref="D7:H7"/>
    <mergeCell ref="D46:I46"/>
    <mergeCell ref="N6:O6"/>
    <mergeCell ref="A7:A8"/>
    <mergeCell ref="B7:B8"/>
    <mergeCell ref="C7:C8"/>
    <mergeCell ref="F6:H6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T57"/>
  <sheetViews>
    <sheetView view="pageBreakPreview" zoomScale="86" zoomScaleNormal="80" zoomScaleSheetLayoutView="86" workbookViewId="0">
      <selection activeCell="Q39" sqref="Q39"/>
    </sheetView>
  </sheetViews>
  <sheetFormatPr defaultRowHeight="12.75"/>
  <cols>
    <col min="1" max="1" width="9.28515625" style="14" customWidth="1"/>
    <col min="2" max="3" width="8.5703125" style="14" customWidth="1"/>
    <col min="4" max="4" width="12" style="14" customWidth="1"/>
    <col min="5" max="5" width="8.5703125" style="14" customWidth="1"/>
    <col min="6" max="6" width="9.5703125" style="14" customWidth="1"/>
    <col min="7" max="7" width="8.5703125" style="14" customWidth="1"/>
    <col min="8" max="8" width="11.7109375" style="14" customWidth="1"/>
    <col min="9" max="15" width="8.5703125" style="14" customWidth="1"/>
    <col min="16" max="16" width="8.42578125" style="14" customWidth="1"/>
    <col min="17" max="19" width="8.5703125" style="14" customWidth="1"/>
    <col min="20" max="16384" width="9.140625" style="14"/>
  </cols>
  <sheetData>
    <row r="1" spans="1:19">
      <c r="A1" s="14" t="s">
        <v>11</v>
      </c>
      <c r="H1" s="851"/>
      <c r="I1" s="851"/>
      <c r="R1" s="846" t="s">
        <v>59</v>
      </c>
      <c r="S1" s="846"/>
    </row>
    <row r="2" spans="1:19" s="13" customFormat="1" ht="15.75">
      <c r="A2" s="847" t="s">
        <v>0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</row>
    <row r="3" spans="1:19" s="13" customFormat="1" ht="20.25" customHeight="1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</row>
    <row r="5" spans="1:19" s="13" customFormat="1" ht="15.75">
      <c r="A5" s="849" t="s">
        <v>744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</row>
    <row r="6" spans="1:19">
      <c r="A6" s="850" t="s">
        <v>922</v>
      </c>
      <c r="B6" s="850"/>
    </row>
    <row r="7" spans="1:19">
      <c r="A7" s="850" t="s">
        <v>171</v>
      </c>
      <c r="B7" s="850"/>
      <c r="C7" s="850"/>
      <c r="D7" s="850"/>
      <c r="E7" s="850"/>
      <c r="F7" s="850"/>
      <c r="G7" s="850"/>
      <c r="H7" s="850"/>
      <c r="I7" s="850"/>
      <c r="R7" s="31"/>
      <c r="S7" s="31"/>
    </row>
    <row r="9" spans="1:19" ht="18" customHeight="1">
      <c r="A9" s="5"/>
      <c r="B9" s="844" t="s">
        <v>46</v>
      </c>
      <c r="C9" s="844"/>
      <c r="D9" s="844" t="s">
        <v>47</v>
      </c>
      <c r="E9" s="844"/>
      <c r="F9" s="844" t="s">
        <v>48</v>
      </c>
      <c r="G9" s="844"/>
      <c r="H9" s="852" t="s">
        <v>49</v>
      </c>
      <c r="I9" s="852"/>
      <c r="J9" s="844" t="s">
        <v>50</v>
      </c>
      <c r="K9" s="844"/>
      <c r="L9" s="27" t="s">
        <v>19</v>
      </c>
    </row>
    <row r="10" spans="1:19" s="70" customFormat="1" ht="13.5" customHeight="1">
      <c r="A10" s="71">
        <v>1</v>
      </c>
      <c r="B10" s="828">
        <v>2</v>
      </c>
      <c r="C10" s="828"/>
      <c r="D10" s="828">
        <v>3</v>
      </c>
      <c r="E10" s="828"/>
      <c r="F10" s="828">
        <v>4</v>
      </c>
      <c r="G10" s="828"/>
      <c r="H10" s="828">
        <v>5</v>
      </c>
      <c r="I10" s="828"/>
      <c r="J10" s="828">
        <v>6</v>
      </c>
      <c r="K10" s="828"/>
      <c r="L10" s="71">
        <v>7</v>
      </c>
    </row>
    <row r="11" spans="1:19">
      <c r="A11" s="3" t="s">
        <v>51</v>
      </c>
      <c r="B11" s="864">
        <v>1123</v>
      </c>
      <c r="C11" s="864"/>
      <c r="D11" s="864">
        <v>3604</v>
      </c>
      <c r="E11" s="864"/>
      <c r="F11" s="864">
        <v>4891</v>
      </c>
      <c r="G11" s="864"/>
      <c r="H11" s="864">
        <v>306</v>
      </c>
      <c r="I11" s="864"/>
      <c r="J11" s="864">
        <v>1611</v>
      </c>
      <c r="K11" s="864"/>
      <c r="L11" s="18">
        <f>SUM(B11:K11)</f>
        <v>11535</v>
      </c>
    </row>
    <row r="12" spans="1:19">
      <c r="A12" s="3" t="s">
        <v>52</v>
      </c>
      <c r="B12" s="864">
        <v>10960</v>
      </c>
      <c r="C12" s="864"/>
      <c r="D12" s="864">
        <v>15906</v>
      </c>
      <c r="E12" s="864"/>
      <c r="F12" s="864">
        <v>53715</v>
      </c>
      <c r="G12" s="864"/>
      <c r="H12" s="864">
        <v>3600</v>
      </c>
      <c r="I12" s="864"/>
      <c r="J12" s="864">
        <v>14206</v>
      </c>
      <c r="K12" s="864"/>
      <c r="L12" s="538">
        <f t="shared" ref="L12:L13" si="0">SUM(B12:K12)</f>
        <v>98387</v>
      </c>
    </row>
    <row r="13" spans="1:19">
      <c r="A13" s="3" t="s">
        <v>19</v>
      </c>
      <c r="B13" s="827">
        <f>B11+B12</f>
        <v>12083</v>
      </c>
      <c r="C13" s="827"/>
      <c r="D13" s="827">
        <f t="shared" ref="D13" si="1">D11+D12</f>
        <v>19510</v>
      </c>
      <c r="E13" s="827"/>
      <c r="F13" s="827">
        <f t="shared" ref="F13" si="2">F11+F12</f>
        <v>58606</v>
      </c>
      <c r="G13" s="827"/>
      <c r="H13" s="827">
        <f t="shared" ref="H13" si="3">H11+H12</f>
        <v>3906</v>
      </c>
      <c r="I13" s="827"/>
      <c r="J13" s="827">
        <f t="shared" ref="J13" si="4">J11+J12</f>
        <v>15817</v>
      </c>
      <c r="K13" s="827"/>
      <c r="L13" s="538">
        <f t="shared" si="0"/>
        <v>109922</v>
      </c>
    </row>
    <row r="14" spans="1:19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>
      <c r="A15" s="840" t="s">
        <v>432</v>
      </c>
      <c r="B15" s="840"/>
      <c r="C15" s="840"/>
      <c r="D15" s="840"/>
      <c r="E15" s="840"/>
      <c r="F15" s="840"/>
      <c r="G15" s="840"/>
      <c r="H15" s="11"/>
      <c r="I15" s="11"/>
      <c r="J15" s="11"/>
      <c r="K15" s="11"/>
      <c r="L15" s="11"/>
    </row>
    <row r="16" spans="1:19" ht="12.75" customHeight="1">
      <c r="A16" s="842" t="s">
        <v>180</v>
      </c>
      <c r="B16" s="843"/>
      <c r="C16" s="841" t="s">
        <v>206</v>
      </c>
      <c r="D16" s="841"/>
      <c r="E16" s="3" t="s">
        <v>19</v>
      </c>
      <c r="I16" s="11"/>
      <c r="J16" s="11"/>
      <c r="K16" s="11"/>
      <c r="L16" s="11"/>
    </row>
    <row r="17" spans="1:20">
      <c r="A17" s="825">
        <v>600</v>
      </c>
      <c r="B17" s="826"/>
      <c r="C17" s="825">
        <v>720</v>
      </c>
      <c r="D17" s="826"/>
      <c r="E17" s="3">
        <v>1320</v>
      </c>
      <c r="G17" s="14" t="s">
        <v>1044</v>
      </c>
      <c r="I17" s="11"/>
      <c r="J17" s="11"/>
      <c r="K17" s="11"/>
      <c r="L17" s="11"/>
    </row>
    <row r="18" spans="1:20">
      <c r="A18" s="825"/>
      <c r="B18" s="826"/>
      <c r="C18" s="825"/>
      <c r="D18" s="826"/>
      <c r="E18" s="3"/>
      <c r="I18" s="11"/>
      <c r="J18" s="11"/>
      <c r="K18" s="11"/>
      <c r="L18" s="11"/>
    </row>
    <row r="19" spans="1:20">
      <c r="A19" s="286"/>
      <c r="B19" s="286"/>
      <c r="C19" s="286"/>
      <c r="D19" s="286"/>
      <c r="E19" s="286"/>
      <c r="F19" s="286"/>
      <c r="G19" s="286"/>
      <c r="H19" s="11"/>
      <c r="I19" s="11"/>
      <c r="J19" s="11"/>
      <c r="K19" s="11"/>
      <c r="L19" s="11"/>
    </row>
    <row r="21" spans="1:20" ht="19.149999999999999" customHeight="1">
      <c r="A21" s="845" t="s">
        <v>172</v>
      </c>
      <c r="B21" s="845"/>
      <c r="C21" s="845"/>
      <c r="D21" s="845"/>
      <c r="E21" s="845"/>
      <c r="F21" s="845"/>
      <c r="G21" s="845"/>
      <c r="H21" s="845"/>
      <c r="I21" s="845"/>
      <c r="J21" s="845"/>
      <c r="K21" s="845"/>
      <c r="L21" s="845"/>
      <c r="M21" s="845"/>
      <c r="N21" s="845"/>
      <c r="O21" s="845"/>
      <c r="P21" s="845"/>
      <c r="Q21" s="845"/>
      <c r="R21" s="845"/>
      <c r="S21" s="845"/>
    </row>
    <row r="22" spans="1:20">
      <c r="A22" s="844" t="s">
        <v>26</v>
      </c>
      <c r="B22" s="844" t="s">
        <v>53</v>
      </c>
      <c r="C22" s="844"/>
      <c r="D22" s="844"/>
      <c r="E22" s="865" t="s">
        <v>27</v>
      </c>
      <c r="F22" s="865"/>
      <c r="G22" s="865"/>
      <c r="H22" s="865"/>
      <c r="I22" s="865"/>
      <c r="J22" s="865"/>
      <c r="K22" s="865"/>
      <c r="L22" s="865"/>
      <c r="M22" s="827" t="s">
        <v>28</v>
      </c>
      <c r="N22" s="827"/>
      <c r="O22" s="827"/>
      <c r="P22" s="827"/>
      <c r="Q22" s="827"/>
      <c r="R22" s="827"/>
      <c r="S22" s="827"/>
      <c r="T22" s="827"/>
    </row>
    <row r="23" spans="1:20" ht="33.75" customHeight="1">
      <c r="A23" s="844"/>
      <c r="B23" s="844"/>
      <c r="C23" s="844"/>
      <c r="D23" s="844"/>
      <c r="E23" s="829" t="s">
        <v>136</v>
      </c>
      <c r="F23" s="830"/>
      <c r="G23" s="829" t="s">
        <v>173</v>
      </c>
      <c r="H23" s="830"/>
      <c r="I23" s="844" t="s">
        <v>54</v>
      </c>
      <c r="J23" s="844"/>
      <c r="K23" s="829" t="s">
        <v>99</v>
      </c>
      <c r="L23" s="830"/>
      <c r="M23" s="829" t="s">
        <v>100</v>
      </c>
      <c r="N23" s="830"/>
      <c r="O23" s="829" t="s">
        <v>173</v>
      </c>
      <c r="P23" s="830"/>
      <c r="Q23" s="844" t="s">
        <v>54</v>
      </c>
      <c r="R23" s="844"/>
      <c r="S23" s="844" t="s">
        <v>99</v>
      </c>
      <c r="T23" s="844"/>
    </row>
    <row r="24" spans="1:20" s="70" customFormat="1" ht="15.75" customHeight="1">
      <c r="A24" s="71">
        <v>1</v>
      </c>
      <c r="B24" s="837">
        <v>2</v>
      </c>
      <c r="C24" s="839"/>
      <c r="D24" s="838"/>
      <c r="E24" s="837">
        <v>3</v>
      </c>
      <c r="F24" s="838"/>
      <c r="G24" s="837">
        <v>4</v>
      </c>
      <c r="H24" s="838"/>
      <c r="I24" s="828">
        <v>5</v>
      </c>
      <c r="J24" s="828"/>
      <c r="K24" s="828">
        <v>6</v>
      </c>
      <c r="L24" s="828"/>
      <c r="M24" s="837">
        <v>3</v>
      </c>
      <c r="N24" s="838"/>
      <c r="O24" s="837">
        <v>4</v>
      </c>
      <c r="P24" s="838"/>
      <c r="Q24" s="828">
        <v>5</v>
      </c>
      <c r="R24" s="828"/>
      <c r="S24" s="828">
        <v>6</v>
      </c>
      <c r="T24" s="828"/>
    </row>
    <row r="25" spans="1:20" ht="27.75" customHeight="1">
      <c r="A25" s="69">
        <v>1</v>
      </c>
      <c r="B25" s="834" t="s">
        <v>489</v>
      </c>
      <c r="C25" s="835"/>
      <c r="D25" s="836"/>
      <c r="E25" s="853">
        <v>100</v>
      </c>
      <c r="F25" s="854"/>
      <c r="G25" s="825" t="s">
        <v>360</v>
      </c>
      <c r="H25" s="826"/>
      <c r="I25" s="820">
        <v>346</v>
      </c>
      <c r="J25" s="820"/>
      <c r="K25" s="820">
        <v>11.8</v>
      </c>
      <c r="L25" s="820"/>
      <c r="M25" s="853">
        <v>150</v>
      </c>
      <c r="N25" s="854"/>
      <c r="O25" s="825" t="s">
        <v>360</v>
      </c>
      <c r="P25" s="826"/>
      <c r="Q25" s="820">
        <v>519</v>
      </c>
      <c r="R25" s="820"/>
      <c r="S25" s="820">
        <v>17.7</v>
      </c>
      <c r="T25" s="820"/>
    </row>
    <row r="26" spans="1:20">
      <c r="A26" s="69">
        <v>2</v>
      </c>
      <c r="B26" s="831" t="s">
        <v>55</v>
      </c>
      <c r="C26" s="832"/>
      <c r="D26" s="833"/>
      <c r="E26" s="821">
        <v>20</v>
      </c>
      <c r="F26" s="822"/>
      <c r="G26" s="823">
        <v>1.55</v>
      </c>
      <c r="H26" s="824"/>
      <c r="I26" s="820">
        <v>67</v>
      </c>
      <c r="J26" s="820"/>
      <c r="K26" s="820">
        <v>4.5</v>
      </c>
      <c r="L26" s="820"/>
      <c r="M26" s="821">
        <v>30</v>
      </c>
      <c r="N26" s="822"/>
      <c r="O26" s="823">
        <v>2.3199999999999998</v>
      </c>
      <c r="P26" s="824"/>
      <c r="Q26" s="820">
        <v>100.5</v>
      </c>
      <c r="R26" s="820"/>
      <c r="S26" s="820">
        <v>6.75</v>
      </c>
      <c r="T26" s="820"/>
    </row>
    <row r="27" spans="1:20">
      <c r="A27" s="69">
        <v>3</v>
      </c>
      <c r="B27" s="831" t="s">
        <v>174</v>
      </c>
      <c r="C27" s="832"/>
      <c r="D27" s="833"/>
      <c r="E27" s="821">
        <v>50</v>
      </c>
      <c r="F27" s="822"/>
      <c r="G27" s="823">
        <v>1.07</v>
      </c>
      <c r="H27" s="824"/>
      <c r="I27" s="820"/>
      <c r="J27" s="820"/>
      <c r="K27" s="820"/>
      <c r="L27" s="820"/>
      <c r="M27" s="821">
        <v>75</v>
      </c>
      <c r="N27" s="822"/>
      <c r="O27" s="823">
        <v>1.6</v>
      </c>
      <c r="P27" s="824"/>
      <c r="Q27" s="820"/>
      <c r="R27" s="820"/>
      <c r="S27" s="820"/>
      <c r="T27" s="820"/>
    </row>
    <row r="28" spans="1:20">
      <c r="A28" s="69">
        <v>4</v>
      </c>
      <c r="B28" s="831" t="s">
        <v>56</v>
      </c>
      <c r="C28" s="832"/>
      <c r="D28" s="833"/>
      <c r="E28" s="821">
        <v>5</v>
      </c>
      <c r="F28" s="822"/>
      <c r="G28" s="823">
        <v>0.6</v>
      </c>
      <c r="H28" s="824"/>
      <c r="I28" s="820">
        <v>90</v>
      </c>
      <c r="J28" s="820"/>
      <c r="K28" s="820"/>
      <c r="L28" s="820"/>
      <c r="M28" s="821">
        <v>7.5</v>
      </c>
      <c r="N28" s="822"/>
      <c r="O28" s="823">
        <v>0.9</v>
      </c>
      <c r="P28" s="824"/>
      <c r="Q28" s="820">
        <v>120</v>
      </c>
      <c r="R28" s="820"/>
      <c r="S28" s="820"/>
      <c r="T28" s="820"/>
    </row>
    <row r="29" spans="1:20">
      <c r="A29" s="69">
        <v>5</v>
      </c>
      <c r="B29" s="831" t="s">
        <v>57</v>
      </c>
      <c r="C29" s="832"/>
      <c r="D29" s="833"/>
      <c r="E29" s="821"/>
      <c r="F29" s="822"/>
      <c r="G29" s="823">
        <v>0.25</v>
      </c>
      <c r="H29" s="824"/>
      <c r="I29" s="820"/>
      <c r="J29" s="820"/>
      <c r="K29" s="820"/>
      <c r="L29" s="820"/>
      <c r="M29" s="821"/>
      <c r="N29" s="822"/>
      <c r="O29" s="823">
        <v>0.37</v>
      </c>
      <c r="P29" s="824"/>
      <c r="Q29" s="820"/>
      <c r="R29" s="820"/>
      <c r="S29" s="820"/>
      <c r="T29" s="820"/>
    </row>
    <row r="30" spans="1:20">
      <c r="A30" s="69">
        <v>6</v>
      </c>
      <c r="B30" s="831" t="s">
        <v>58</v>
      </c>
      <c r="C30" s="832"/>
      <c r="D30" s="833"/>
      <c r="E30" s="821"/>
      <c r="F30" s="822"/>
      <c r="G30" s="823">
        <v>0.88</v>
      </c>
      <c r="H30" s="824"/>
      <c r="I30" s="820"/>
      <c r="J30" s="820"/>
      <c r="K30" s="820"/>
      <c r="L30" s="820"/>
      <c r="M30" s="821"/>
      <c r="N30" s="822"/>
      <c r="O30" s="823">
        <v>1.32</v>
      </c>
      <c r="P30" s="824"/>
      <c r="Q30" s="820"/>
      <c r="R30" s="820"/>
      <c r="S30" s="820"/>
      <c r="T30" s="820"/>
    </row>
    <row r="31" spans="1:20">
      <c r="A31" s="69">
        <v>7</v>
      </c>
      <c r="B31" s="863" t="s">
        <v>175</v>
      </c>
      <c r="C31" s="863"/>
      <c r="D31" s="863"/>
      <c r="E31" s="864"/>
      <c r="F31" s="864"/>
      <c r="G31" s="869"/>
      <c r="H31" s="864"/>
      <c r="I31" s="864"/>
      <c r="J31" s="864"/>
      <c r="K31" s="864"/>
      <c r="L31" s="864"/>
      <c r="M31" s="864"/>
      <c r="N31" s="864"/>
      <c r="O31" s="869"/>
      <c r="P31" s="864"/>
      <c r="Q31" s="864"/>
      <c r="R31" s="864"/>
      <c r="S31" s="864"/>
      <c r="T31" s="864"/>
    </row>
    <row r="32" spans="1:20">
      <c r="A32" s="69"/>
      <c r="B32" s="844" t="s">
        <v>19</v>
      </c>
      <c r="C32" s="844"/>
      <c r="D32" s="844"/>
      <c r="E32" s="827"/>
      <c r="F32" s="827"/>
      <c r="G32" s="868">
        <f>SUM(G26:H31)</f>
        <v>4.3500000000000005</v>
      </c>
      <c r="H32" s="827"/>
      <c r="I32" s="827"/>
      <c r="J32" s="827"/>
      <c r="K32" s="827"/>
      <c r="L32" s="827"/>
      <c r="M32" s="827"/>
      <c r="N32" s="827"/>
      <c r="O32" s="825"/>
      <c r="P32" s="826"/>
      <c r="Q32" s="827"/>
      <c r="R32" s="827"/>
      <c r="S32" s="827"/>
      <c r="T32" s="827"/>
    </row>
    <row r="33" spans="1:20">
      <c r="A33" s="126"/>
      <c r="B33" s="127"/>
      <c r="C33" s="127"/>
      <c r="D33" s="12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 customHeight="1">
      <c r="A34" s="289" t="s">
        <v>412</v>
      </c>
      <c r="B34" s="875" t="s">
        <v>465</v>
      </c>
      <c r="C34" s="875"/>
      <c r="D34" s="875"/>
      <c r="E34" s="875"/>
      <c r="F34" s="875"/>
      <c r="G34" s="875"/>
      <c r="H34" s="875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>
      <c r="A35" s="289"/>
      <c r="B35" s="127"/>
      <c r="C35" s="127"/>
      <c r="D35" s="127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31" customFormat="1" ht="17.25" customHeight="1">
      <c r="A36" s="2" t="s">
        <v>26</v>
      </c>
      <c r="B36" s="857" t="s">
        <v>413</v>
      </c>
      <c r="C36" s="858"/>
      <c r="D36" s="859"/>
      <c r="E36" s="829" t="s">
        <v>27</v>
      </c>
      <c r="F36" s="855"/>
      <c r="G36" s="855"/>
      <c r="H36" s="855"/>
      <c r="I36" s="855"/>
      <c r="J36" s="830"/>
      <c r="K36" s="827" t="s">
        <v>28</v>
      </c>
      <c r="L36" s="827"/>
      <c r="M36" s="827"/>
      <c r="N36" s="827"/>
      <c r="O36" s="827"/>
      <c r="P36" s="827"/>
      <c r="Q36" s="867"/>
      <c r="R36" s="867"/>
      <c r="S36" s="867"/>
      <c r="T36" s="867"/>
    </row>
    <row r="37" spans="1:20">
      <c r="A37" s="4"/>
      <c r="B37" s="860"/>
      <c r="C37" s="861"/>
      <c r="D37" s="862"/>
      <c r="E37" s="825" t="s">
        <v>429</v>
      </c>
      <c r="F37" s="826"/>
      <c r="G37" s="825" t="s">
        <v>430</v>
      </c>
      <c r="H37" s="826"/>
      <c r="I37" s="825" t="s">
        <v>431</v>
      </c>
      <c r="J37" s="826"/>
      <c r="K37" s="827" t="s">
        <v>429</v>
      </c>
      <c r="L37" s="827"/>
      <c r="M37" s="827" t="s">
        <v>430</v>
      </c>
      <c r="N37" s="827"/>
      <c r="O37" s="827" t="s">
        <v>431</v>
      </c>
      <c r="P37" s="827"/>
      <c r="Q37" s="11"/>
      <c r="R37" s="11"/>
      <c r="S37" s="11"/>
      <c r="T37" s="11"/>
    </row>
    <row r="38" spans="1:20">
      <c r="A38" s="69">
        <v>1</v>
      </c>
      <c r="B38" s="825" t="s">
        <v>986</v>
      </c>
      <c r="C38" s="856"/>
      <c r="D38" s="826"/>
      <c r="E38" s="825">
        <v>1</v>
      </c>
      <c r="F38" s="826"/>
      <c r="G38" s="825" t="s">
        <v>987</v>
      </c>
      <c r="H38" s="826"/>
      <c r="I38" s="825" t="s">
        <v>988</v>
      </c>
      <c r="J38" s="826"/>
      <c r="K38" s="825">
        <v>1</v>
      </c>
      <c r="L38" s="826"/>
      <c r="M38" s="825" t="s">
        <v>987</v>
      </c>
      <c r="N38" s="826"/>
      <c r="O38" s="825" t="s">
        <v>988</v>
      </c>
      <c r="P38" s="826"/>
      <c r="Q38" s="11"/>
      <c r="R38" s="11"/>
      <c r="S38" s="11"/>
      <c r="T38" s="11"/>
    </row>
    <row r="39" spans="1:20">
      <c r="A39" s="69">
        <v>2</v>
      </c>
      <c r="B39" s="825" t="s">
        <v>1052</v>
      </c>
      <c r="C39" s="856"/>
      <c r="D39" s="826"/>
      <c r="E39" s="825" t="s">
        <v>1053</v>
      </c>
      <c r="F39" s="826"/>
      <c r="G39" s="825">
        <v>5.63</v>
      </c>
      <c r="H39" s="826"/>
      <c r="I39" s="825" t="s">
        <v>1054</v>
      </c>
      <c r="J39" s="826"/>
      <c r="K39" s="827" t="s">
        <v>1055</v>
      </c>
      <c r="L39" s="827"/>
      <c r="M39" s="827">
        <v>7.5</v>
      </c>
      <c r="N39" s="827"/>
      <c r="O39" s="827" t="s">
        <v>1054</v>
      </c>
      <c r="P39" s="827"/>
      <c r="Q39" s="11"/>
      <c r="R39" s="11"/>
      <c r="S39" s="11"/>
      <c r="T39" s="11"/>
    </row>
    <row r="40" spans="1:20">
      <c r="A40" s="69">
        <v>3</v>
      </c>
      <c r="B40" s="825"/>
      <c r="C40" s="856"/>
      <c r="D40" s="826"/>
      <c r="E40" s="825"/>
      <c r="F40" s="826"/>
      <c r="G40" s="825"/>
      <c r="H40" s="826"/>
      <c r="I40" s="825"/>
      <c r="J40" s="826"/>
      <c r="K40" s="827"/>
      <c r="L40" s="827"/>
      <c r="M40" s="827"/>
      <c r="N40" s="827"/>
      <c r="O40" s="827"/>
      <c r="P40" s="827"/>
      <c r="Q40" s="11"/>
      <c r="R40" s="11"/>
      <c r="S40" s="11"/>
      <c r="T40" s="11"/>
    </row>
    <row r="41" spans="1:20">
      <c r="A41" s="69">
        <v>4</v>
      </c>
      <c r="B41" s="829"/>
      <c r="C41" s="855"/>
      <c r="D41" s="830"/>
      <c r="E41" s="825"/>
      <c r="F41" s="826"/>
      <c r="G41" s="825"/>
      <c r="H41" s="826"/>
      <c r="I41" s="825"/>
      <c r="J41" s="826"/>
      <c r="K41" s="827"/>
      <c r="L41" s="827"/>
      <c r="M41" s="827"/>
      <c r="N41" s="827"/>
      <c r="O41" s="827"/>
      <c r="P41" s="827"/>
      <c r="Q41" s="11"/>
      <c r="R41" s="11"/>
      <c r="S41" s="11"/>
      <c r="T41" s="11"/>
    </row>
    <row r="44" spans="1:20" ht="13.9" customHeight="1">
      <c r="A44" s="870" t="s">
        <v>185</v>
      </c>
      <c r="B44" s="870"/>
      <c r="C44" s="870"/>
      <c r="D44" s="870"/>
      <c r="E44" s="870"/>
      <c r="F44" s="870"/>
      <c r="G44" s="870"/>
      <c r="H44" s="870"/>
      <c r="I44" s="870"/>
    </row>
    <row r="45" spans="1:20" ht="13.9" customHeight="1">
      <c r="A45" s="873" t="s">
        <v>61</v>
      </c>
      <c r="B45" s="873" t="s">
        <v>27</v>
      </c>
      <c r="C45" s="873"/>
      <c r="D45" s="873"/>
      <c r="E45" s="876" t="s">
        <v>28</v>
      </c>
      <c r="F45" s="876"/>
      <c r="G45" s="876"/>
      <c r="H45" s="877" t="s">
        <v>149</v>
      </c>
      <c r="I45"/>
    </row>
    <row r="46" spans="1:20" ht="15">
      <c r="A46" s="873"/>
      <c r="B46" s="50" t="s">
        <v>176</v>
      </c>
      <c r="C46" s="73" t="s">
        <v>106</v>
      </c>
      <c r="D46" s="50" t="s">
        <v>19</v>
      </c>
      <c r="E46" s="50" t="s">
        <v>176</v>
      </c>
      <c r="F46" s="73" t="s">
        <v>106</v>
      </c>
      <c r="G46" s="50" t="s">
        <v>19</v>
      </c>
      <c r="H46" s="878"/>
      <c r="I46"/>
    </row>
    <row r="47" spans="1:20" ht="14.25">
      <c r="A47" s="30" t="s">
        <v>693</v>
      </c>
      <c r="B47" s="53">
        <v>2.61</v>
      </c>
      <c r="C47" s="52">
        <v>1.74</v>
      </c>
      <c r="D47" s="9">
        <v>4.3499999999999996</v>
      </c>
      <c r="E47" s="9">
        <v>3.91</v>
      </c>
      <c r="F47" s="53">
        <v>2.6</v>
      </c>
      <c r="G47" s="53">
        <v>6.51</v>
      </c>
      <c r="H47" s="53"/>
      <c r="I47"/>
    </row>
    <row r="48" spans="1:20" ht="15">
      <c r="A48" s="30" t="s">
        <v>706</v>
      </c>
      <c r="B48" s="72">
        <v>2.61</v>
      </c>
      <c r="C48" s="72">
        <v>1.74</v>
      </c>
      <c r="D48" s="9">
        <v>4.3499999999999996</v>
      </c>
      <c r="E48" s="9">
        <v>3.91</v>
      </c>
      <c r="F48" s="53">
        <v>2.6</v>
      </c>
      <c r="G48" s="53">
        <v>6.51</v>
      </c>
      <c r="H48" s="53" t="s">
        <v>177</v>
      </c>
      <c r="I48"/>
    </row>
    <row r="49" spans="1:20" ht="15" customHeight="1">
      <c r="A49" s="874" t="s">
        <v>234</v>
      </c>
      <c r="B49" s="874"/>
      <c r="C49" s="874"/>
      <c r="D49" s="874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4"/>
      <c r="P49" s="874"/>
      <c r="Q49" s="874"/>
      <c r="R49" s="874"/>
      <c r="S49" s="874"/>
      <c r="T49" s="874"/>
    </row>
    <row r="50" spans="1:20" ht="15">
      <c r="A50" s="125"/>
      <c r="B50" s="287"/>
      <c r="C50" s="287"/>
      <c r="D50" s="12"/>
      <c r="E50" s="12"/>
      <c r="F50" s="288"/>
      <c r="G50" s="288"/>
      <c r="H50" s="288"/>
      <c r="I50"/>
    </row>
    <row r="51" spans="1:20" ht="15">
      <c r="A51" s="31"/>
      <c r="B51" s="290"/>
      <c r="C51" s="290"/>
      <c r="D51" s="260"/>
      <c r="E51" s="260"/>
      <c r="F51" s="288"/>
      <c r="G51" s="288"/>
      <c r="H51" s="288"/>
      <c r="I51"/>
    </row>
    <row r="54" spans="1:20" s="15" customFormat="1" ht="12.75" customHeight="1">
      <c r="A54" s="14" t="s">
        <v>12</v>
      </c>
      <c r="B54" s="14"/>
      <c r="C54" s="14"/>
      <c r="D54" s="14"/>
      <c r="E54" s="14"/>
      <c r="F54" s="14"/>
      <c r="G54" s="14"/>
      <c r="I54" s="14"/>
      <c r="O54" s="871" t="s">
        <v>13</v>
      </c>
      <c r="P54" s="871"/>
      <c r="Q54" s="872"/>
    </row>
    <row r="55" spans="1:20" s="15" customFormat="1" ht="12.75" customHeight="1">
      <c r="A55" s="871" t="s">
        <v>14</v>
      </c>
      <c r="B55" s="871"/>
      <c r="C55" s="871"/>
      <c r="D55" s="871"/>
      <c r="E55" s="871"/>
      <c r="F55" s="871"/>
      <c r="G55" s="871"/>
      <c r="H55" s="871"/>
      <c r="I55" s="871"/>
      <c r="J55" s="871"/>
      <c r="K55" s="871"/>
      <c r="L55" s="871"/>
      <c r="M55" s="871"/>
      <c r="N55" s="871"/>
      <c r="O55" s="871"/>
      <c r="P55" s="871"/>
      <c r="Q55" s="871"/>
    </row>
    <row r="56" spans="1:20" s="15" customFormat="1" ht="13.15" customHeight="1">
      <c r="A56" s="866" t="s">
        <v>95</v>
      </c>
      <c r="B56" s="866"/>
      <c r="C56" s="866"/>
      <c r="D56" s="866"/>
      <c r="E56" s="866"/>
      <c r="F56" s="866"/>
      <c r="G56" s="866"/>
      <c r="H56" s="866"/>
      <c r="I56" s="866"/>
      <c r="J56" s="866"/>
      <c r="K56" s="866"/>
      <c r="L56" s="866"/>
      <c r="M56" s="866"/>
      <c r="N56" s="866"/>
      <c r="O56" s="866"/>
      <c r="P56" s="866"/>
      <c r="Q56" s="866"/>
      <c r="R56" s="866"/>
      <c r="S56" s="866"/>
    </row>
    <row r="57" spans="1:20" ht="12.75" customHeight="1">
      <c r="N57" s="850" t="s">
        <v>87</v>
      </c>
      <c r="O57" s="850"/>
      <c r="P57" s="850"/>
      <c r="Q57" s="850"/>
    </row>
  </sheetData>
  <mergeCells count="183">
    <mergeCell ref="O54:Q54"/>
    <mergeCell ref="A55:Q55"/>
    <mergeCell ref="A45:A46"/>
    <mergeCell ref="A49:T49"/>
    <mergeCell ref="E31:F31"/>
    <mergeCell ref="B34:H34"/>
    <mergeCell ref="K40:L40"/>
    <mergeCell ref="S36:T36"/>
    <mergeCell ref="I37:J37"/>
    <mergeCell ref="I32:J32"/>
    <mergeCell ref="B45:D45"/>
    <mergeCell ref="E45:G45"/>
    <mergeCell ref="H45:H46"/>
    <mergeCell ref="M31:N31"/>
    <mergeCell ref="Q31:R31"/>
    <mergeCell ref="S31:T31"/>
    <mergeCell ref="O31:P31"/>
    <mergeCell ref="K31:L31"/>
    <mergeCell ref="S32:T32"/>
    <mergeCell ref="K36:P36"/>
    <mergeCell ref="O40:P40"/>
    <mergeCell ref="K39:L39"/>
    <mergeCell ref="M39:N39"/>
    <mergeCell ref="K37:L37"/>
    <mergeCell ref="N57:Q57"/>
    <mergeCell ref="A56:S56"/>
    <mergeCell ref="S30:T30"/>
    <mergeCell ref="K32:L32"/>
    <mergeCell ref="E30:F30"/>
    <mergeCell ref="I39:J39"/>
    <mergeCell ref="Q36:R36"/>
    <mergeCell ref="I31:J31"/>
    <mergeCell ref="G32:H32"/>
    <mergeCell ref="G31:H31"/>
    <mergeCell ref="G30:H30"/>
    <mergeCell ref="I30:J30"/>
    <mergeCell ref="M32:N32"/>
    <mergeCell ref="O32:P32"/>
    <mergeCell ref="Q32:R32"/>
    <mergeCell ref="G41:H41"/>
    <mergeCell ref="E41:F41"/>
    <mergeCell ref="M41:N41"/>
    <mergeCell ref="O41:P41"/>
    <mergeCell ref="A44:I44"/>
    <mergeCell ref="K41:L41"/>
    <mergeCell ref="B40:D40"/>
    <mergeCell ref="B41:D41"/>
    <mergeCell ref="I41:J41"/>
    <mergeCell ref="S28:T28"/>
    <mergeCell ref="Q28:R28"/>
    <mergeCell ref="Q29:R29"/>
    <mergeCell ref="S29:T29"/>
    <mergeCell ref="M29:N29"/>
    <mergeCell ref="O29:P29"/>
    <mergeCell ref="S26:T26"/>
    <mergeCell ref="O28:P28"/>
    <mergeCell ref="K28:L28"/>
    <mergeCell ref="Q27:R27"/>
    <mergeCell ref="M27:N27"/>
    <mergeCell ref="C18:D18"/>
    <mergeCell ref="B11:C11"/>
    <mergeCell ref="M24:N24"/>
    <mergeCell ref="O24:P24"/>
    <mergeCell ref="G23:H23"/>
    <mergeCell ref="J13:K13"/>
    <mergeCell ref="J11:K11"/>
    <mergeCell ref="A18:B18"/>
    <mergeCell ref="D13:E13"/>
    <mergeCell ref="B22:D23"/>
    <mergeCell ref="E22:L22"/>
    <mergeCell ref="B12:C12"/>
    <mergeCell ref="H13:I13"/>
    <mergeCell ref="H12:I12"/>
    <mergeCell ref="D12:E12"/>
    <mergeCell ref="F12:G12"/>
    <mergeCell ref="B13:C13"/>
    <mergeCell ref="J12:K12"/>
    <mergeCell ref="D11:E11"/>
    <mergeCell ref="F11:G11"/>
    <mergeCell ref="H11:I11"/>
    <mergeCell ref="F13:G13"/>
    <mergeCell ref="B30:D30"/>
    <mergeCell ref="I28:J28"/>
    <mergeCell ref="B28:D28"/>
    <mergeCell ref="B36:D37"/>
    <mergeCell ref="B39:D39"/>
    <mergeCell ref="B31:D31"/>
    <mergeCell ref="E32:F32"/>
    <mergeCell ref="M22:T22"/>
    <mergeCell ref="M25:N25"/>
    <mergeCell ref="Q23:R23"/>
    <mergeCell ref="G24:H24"/>
    <mergeCell ref="G29:H29"/>
    <mergeCell ref="B27:D27"/>
    <mergeCell ref="B29:D29"/>
    <mergeCell ref="E29:F29"/>
    <mergeCell ref="E28:F28"/>
    <mergeCell ref="G28:H28"/>
    <mergeCell ref="O25:P25"/>
    <mergeCell ref="S25:T25"/>
    <mergeCell ref="I29:J29"/>
    <mergeCell ref="O27:P27"/>
    <mergeCell ref="S27:T27"/>
    <mergeCell ref="K29:L29"/>
    <mergeCell ref="M26:N26"/>
    <mergeCell ref="B32:D32"/>
    <mergeCell ref="E39:F39"/>
    <mergeCell ref="E40:F40"/>
    <mergeCell ref="E36:J36"/>
    <mergeCell ref="G39:H39"/>
    <mergeCell ref="B38:D38"/>
    <mergeCell ref="G37:H37"/>
    <mergeCell ref="G38:H38"/>
    <mergeCell ref="I38:J38"/>
    <mergeCell ref="E38:F38"/>
    <mergeCell ref="E37:F37"/>
    <mergeCell ref="G40:H40"/>
    <mergeCell ref="S23:T23"/>
    <mergeCell ref="E26:F26"/>
    <mergeCell ref="G26:H26"/>
    <mergeCell ref="I25:J25"/>
    <mergeCell ref="I23:J23"/>
    <mergeCell ref="O23:P23"/>
    <mergeCell ref="K24:L24"/>
    <mergeCell ref="K25:L25"/>
    <mergeCell ref="M23:N23"/>
    <mergeCell ref="K23:L23"/>
    <mergeCell ref="Q25:R25"/>
    <mergeCell ref="Q26:R26"/>
    <mergeCell ref="E25:F25"/>
    <mergeCell ref="O26:P26"/>
    <mergeCell ref="K26:L26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J10:K10"/>
    <mergeCell ref="D10:E10"/>
    <mergeCell ref="F10:G10"/>
    <mergeCell ref="H10:I10"/>
    <mergeCell ref="B10:C10"/>
    <mergeCell ref="E23:F23"/>
    <mergeCell ref="I24:J24"/>
    <mergeCell ref="E27:F27"/>
    <mergeCell ref="G27:H27"/>
    <mergeCell ref="G25:H25"/>
    <mergeCell ref="B26:D26"/>
    <mergeCell ref="I26:J26"/>
    <mergeCell ref="B25:D25"/>
    <mergeCell ref="E24:F24"/>
    <mergeCell ref="B24:D24"/>
    <mergeCell ref="A15:G15"/>
    <mergeCell ref="C16:D16"/>
    <mergeCell ref="A16:B16"/>
    <mergeCell ref="A17:B17"/>
    <mergeCell ref="C17:D17"/>
    <mergeCell ref="A22:A23"/>
    <mergeCell ref="A21:S21"/>
    <mergeCell ref="Q24:R24"/>
    <mergeCell ref="S24:T24"/>
    <mergeCell ref="I27:J27"/>
    <mergeCell ref="K27:L27"/>
    <mergeCell ref="M30:N30"/>
    <mergeCell ref="O30:P30"/>
    <mergeCell ref="Q30:R30"/>
    <mergeCell ref="M28:N28"/>
    <mergeCell ref="K30:L30"/>
    <mergeCell ref="O38:P38"/>
    <mergeCell ref="M40:N40"/>
    <mergeCell ref="O39:P39"/>
    <mergeCell ref="M38:N38"/>
    <mergeCell ref="M37:N37"/>
    <mergeCell ref="O37:P37"/>
    <mergeCell ref="K38:L38"/>
    <mergeCell ref="I40:J4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T50"/>
  <sheetViews>
    <sheetView view="pageBreakPreview" topLeftCell="B10" zoomScaleSheetLayoutView="100" workbookViewId="0">
      <selection activeCell="B42" sqref="B42"/>
    </sheetView>
  </sheetViews>
  <sheetFormatPr defaultRowHeight="12.75"/>
  <cols>
    <col min="2" max="2" width="13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317" customWidth="1"/>
    <col min="11" max="11" width="10.5703125" customWidth="1"/>
    <col min="12" max="12" width="10.42578125" customWidth="1"/>
    <col min="13" max="13" width="11.5703125" customWidth="1"/>
    <col min="14" max="15" width="13" customWidth="1"/>
    <col min="17" max="17" width="9.5703125" bestFit="1" customWidth="1"/>
  </cols>
  <sheetData>
    <row r="1" spans="1:20" ht="18">
      <c r="A1" s="919" t="s">
        <v>0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N1" s="261" t="s">
        <v>521</v>
      </c>
      <c r="O1" s="261"/>
    </row>
    <row r="2" spans="1:20" ht="21">
      <c r="A2" s="920" t="s">
        <v>705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</row>
    <row r="3" spans="1:20" ht="15">
      <c r="A3" s="217"/>
      <c r="B3" s="217"/>
      <c r="C3" s="217"/>
      <c r="D3" s="217"/>
      <c r="E3" s="217"/>
      <c r="F3" s="217"/>
      <c r="G3" s="217"/>
      <c r="H3" s="217"/>
      <c r="I3" s="314"/>
      <c r="J3" s="314"/>
    </row>
    <row r="4" spans="1:20" ht="18">
      <c r="A4" s="919" t="s">
        <v>520</v>
      </c>
      <c r="B4" s="919"/>
      <c r="C4" s="919"/>
      <c r="D4" s="919"/>
      <c r="E4" s="919"/>
      <c r="F4" s="919"/>
      <c r="G4" s="919"/>
      <c r="H4" s="919"/>
      <c r="I4" s="340"/>
      <c r="J4" s="340"/>
    </row>
    <row r="5" spans="1:20" ht="15">
      <c r="A5" s="218" t="s">
        <v>922</v>
      </c>
      <c r="B5" s="218"/>
      <c r="C5" s="218"/>
      <c r="D5" s="218"/>
      <c r="E5" s="218"/>
      <c r="F5" s="218"/>
      <c r="G5" s="218"/>
      <c r="H5" s="217"/>
      <c r="I5" s="314"/>
      <c r="J5" s="314"/>
      <c r="L5" s="1038" t="s">
        <v>784</v>
      </c>
      <c r="M5" s="1038"/>
      <c r="N5" s="1038"/>
      <c r="O5" s="691"/>
    </row>
    <row r="6" spans="1:20" ht="28.5" customHeight="1">
      <c r="A6" s="1010" t="s">
        <v>2</v>
      </c>
      <c r="B6" s="1010" t="s">
        <v>40</v>
      </c>
      <c r="C6" s="844" t="s">
        <v>405</v>
      </c>
      <c r="D6" s="855" t="s">
        <v>454</v>
      </c>
      <c r="E6" s="855"/>
      <c r="F6" s="855"/>
      <c r="G6" s="855"/>
      <c r="H6" s="830"/>
      <c r="I6" s="976" t="s">
        <v>546</v>
      </c>
      <c r="J6" s="976" t="s">
        <v>547</v>
      </c>
      <c r="K6" s="1012" t="s">
        <v>500</v>
      </c>
      <c r="L6" s="1012"/>
      <c r="M6" s="1012"/>
      <c r="N6" s="1012"/>
      <c r="O6" s="692"/>
    </row>
    <row r="7" spans="1:20" ht="39" customHeight="1">
      <c r="A7" s="1011"/>
      <c r="B7" s="1011"/>
      <c r="C7" s="844"/>
      <c r="D7" s="5" t="s">
        <v>453</v>
      </c>
      <c r="E7" s="5" t="s">
        <v>406</v>
      </c>
      <c r="F7" s="69" t="s">
        <v>407</v>
      </c>
      <c r="G7" s="5" t="s">
        <v>408</v>
      </c>
      <c r="H7" s="5" t="s">
        <v>50</v>
      </c>
      <c r="I7" s="976"/>
      <c r="J7" s="976"/>
      <c r="K7" s="252" t="s">
        <v>409</v>
      </c>
      <c r="L7" s="27" t="s">
        <v>501</v>
      </c>
      <c r="M7" s="5" t="s">
        <v>410</v>
      </c>
      <c r="N7" s="27" t="s">
        <v>411</v>
      </c>
      <c r="O7" s="686"/>
    </row>
    <row r="8" spans="1:20" ht="15">
      <c r="A8" s="221" t="s">
        <v>264</v>
      </c>
      <c r="B8" s="221" t="s">
        <v>265</v>
      </c>
      <c r="C8" s="221" t="s">
        <v>266</v>
      </c>
      <c r="D8" s="221" t="s">
        <v>267</v>
      </c>
      <c r="E8" s="221" t="s">
        <v>268</v>
      </c>
      <c r="F8" s="221" t="s">
        <v>269</v>
      </c>
      <c r="G8" s="221" t="s">
        <v>270</v>
      </c>
      <c r="H8" s="221" t="s">
        <v>271</v>
      </c>
      <c r="I8" s="341" t="s">
        <v>290</v>
      </c>
      <c r="J8" s="341" t="s">
        <v>291</v>
      </c>
      <c r="K8" s="221" t="s">
        <v>292</v>
      </c>
      <c r="L8" s="221" t="s">
        <v>320</v>
      </c>
      <c r="M8" s="221" t="s">
        <v>321</v>
      </c>
      <c r="N8" s="221" t="s">
        <v>322</v>
      </c>
      <c r="O8" s="693"/>
    </row>
    <row r="9" spans="1:20" ht="15.75">
      <c r="A9" s="320">
        <v>1</v>
      </c>
      <c r="B9" s="385" t="s">
        <v>889</v>
      </c>
      <c r="C9" s="489">
        <v>1891</v>
      </c>
      <c r="D9" s="577">
        <v>316</v>
      </c>
      <c r="E9" s="577">
        <v>538</v>
      </c>
      <c r="F9" s="577">
        <v>0</v>
      </c>
      <c r="G9" s="577">
        <v>0</v>
      </c>
      <c r="H9" s="577">
        <v>1037</v>
      </c>
      <c r="I9" s="578">
        <v>1891</v>
      </c>
      <c r="J9" s="578">
        <v>1891</v>
      </c>
      <c r="K9" s="235" t="s">
        <v>989</v>
      </c>
      <c r="L9" s="235" t="s">
        <v>989</v>
      </c>
      <c r="M9" s="235" t="s">
        <v>989</v>
      </c>
      <c r="N9" s="235" t="s">
        <v>989</v>
      </c>
      <c r="O9" s="694">
        <f>D9+E9+F9+G9+H9</f>
        <v>1891</v>
      </c>
      <c r="Q9" s="455">
        <f>22000/29165*D9</f>
        <v>238.36790673752785</v>
      </c>
      <c r="R9" s="689">
        <v>970</v>
      </c>
      <c r="S9" s="689">
        <f>H9+R9</f>
        <v>2007</v>
      </c>
      <c r="T9">
        <f>D9-R9</f>
        <v>-654</v>
      </c>
    </row>
    <row r="10" spans="1:20" ht="15.75">
      <c r="A10" s="320">
        <v>2</v>
      </c>
      <c r="B10" s="385" t="s">
        <v>890</v>
      </c>
      <c r="C10" s="489">
        <v>2873</v>
      </c>
      <c r="D10" s="577">
        <v>371</v>
      </c>
      <c r="E10" s="577">
        <v>339</v>
      </c>
      <c r="F10" s="577">
        <v>586</v>
      </c>
      <c r="G10" s="577">
        <v>0</v>
      </c>
      <c r="H10" s="577">
        <v>1577</v>
      </c>
      <c r="I10" s="578">
        <v>2873</v>
      </c>
      <c r="J10" s="578">
        <v>2873</v>
      </c>
      <c r="K10" s="235" t="s">
        <v>989</v>
      </c>
      <c r="L10" s="235" t="s">
        <v>989</v>
      </c>
      <c r="M10" s="235" t="s">
        <v>989</v>
      </c>
      <c r="N10" s="235" t="s">
        <v>989</v>
      </c>
      <c r="O10" s="694">
        <f t="shared" ref="O10:O41" si="0">D10+E10+F10+G10+H10</f>
        <v>2873</v>
      </c>
      <c r="Q10" s="455">
        <f t="shared" ref="Q10:Q42" si="1">22000/29165*D10</f>
        <v>279.85599177095833</v>
      </c>
      <c r="R10" s="689">
        <v>1139</v>
      </c>
      <c r="S10" s="689">
        <f t="shared" ref="S10:S42" si="2">H10+R10</f>
        <v>2716</v>
      </c>
      <c r="T10">
        <f t="shared" ref="T10:T42" si="3">D10-R10</f>
        <v>-768</v>
      </c>
    </row>
    <row r="11" spans="1:20" ht="15.75">
      <c r="A11" s="320">
        <v>3</v>
      </c>
      <c r="B11" s="385" t="s">
        <v>891</v>
      </c>
      <c r="C11" s="489">
        <v>2683</v>
      </c>
      <c r="D11" s="577">
        <v>323</v>
      </c>
      <c r="E11" s="577">
        <v>120</v>
      </c>
      <c r="F11" s="577">
        <v>711</v>
      </c>
      <c r="G11" s="577">
        <v>0</v>
      </c>
      <c r="H11" s="577">
        <v>1529</v>
      </c>
      <c r="I11" s="578">
        <v>2683</v>
      </c>
      <c r="J11" s="578">
        <v>2683</v>
      </c>
      <c r="K11" s="235" t="s">
        <v>989</v>
      </c>
      <c r="L11" s="235" t="s">
        <v>989</v>
      </c>
      <c r="M11" s="235" t="s">
        <v>989</v>
      </c>
      <c r="N11" s="235" t="s">
        <v>989</v>
      </c>
      <c r="O11" s="694">
        <f t="shared" si="0"/>
        <v>2683</v>
      </c>
      <c r="Q11" s="455">
        <f t="shared" si="1"/>
        <v>243.64820846905536</v>
      </c>
      <c r="R11" s="689">
        <v>992</v>
      </c>
      <c r="S11" s="689">
        <f t="shared" si="2"/>
        <v>2521</v>
      </c>
      <c r="T11">
        <f t="shared" si="3"/>
        <v>-669</v>
      </c>
    </row>
    <row r="12" spans="1:20" ht="15.75">
      <c r="A12" s="320">
        <v>4</v>
      </c>
      <c r="B12" s="385" t="s">
        <v>892</v>
      </c>
      <c r="C12" s="489">
        <v>1315</v>
      </c>
      <c r="D12" s="577">
        <v>322</v>
      </c>
      <c r="E12" s="577">
        <v>0</v>
      </c>
      <c r="F12" s="577">
        <v>0</v>
      </c>
      <c r="G12" s="577">
        <v>0</v>
      </c>
      <c r="H12" s="577">
        <v>993</v>
      </c>
      <c r="I12" s="578">
        <v>1315</v>
      </c>
      <c r="J12" s="578">
        <v>1315</v>
      </c>
      <c r="K12" s="235" t="s">
        <v>989</v>
      </c>
      <c r="L12" s="235" t="s">
        <v>989</v>
      </c>
      <c r="M12" s="235" t="s">
        <v>989</v>
      </c>
      <c r="N12" s="235" t="s">
        <v>989</v>
      </c>
      <c r="O12" s="694">
        <f t="shared" si="0"/>
        <v>1315</v>
      </c>
      <c r="Q12" s="455">
        <f t="shared" si="1"/>
        <v>242.89387965026572</v>
      </c>
      <c r="R12" s="689">
        <v>988</v>
      </c>
      <c r="S12" s="689">
        <f t="shared" si="2"/>
        <v>1981</v>
      </c>
      <c r="T12">
        <f t="shared" si="3"/>
        <v>-666</v>
      </c>
    </row>
    <row r="13" spans="1:20" ht="15.75">
      <c r="A13" s="320">
        <v>5</v>
      </c>
      <c r="B13" s="385" t="s">
        <v>893</v>
      </c>
      <c r="C13" s="489">
        <v>4902</v>
      </c>
      <c r="D13" s="577">
        <v>790</v>
      </c>
      <c r="E13" s="577">
        <v>662</v>
      </c>
      <c r="F13" s="577">
        <v>417</v>
      </c>
      <c r="G13" s="577">
        <v>94</v>
      </c>
      <c r="H13" s="577">
        <v>2939</v>
      </c>
      <c r="I13" s="578">
        <v>4902</v>
      </c>
      <c r="J13" s="578">
        <v>4902</v>
      </c>
      <c r="K13" s="235" t="s">
        <v>989</v>
      </c>
      <c r="L13" s="235" t="s">
        <v>989</v>
      </c>
      <c r="M13" s="235" t="s">
        <v>989</v>
      </c>
      <c r="N13" s="235" t="s">
        <v>989</v>
      </c>
      <c r="O13" s="694">
        <f t="shared" si="0"/>
        <v>4902</v>
      </c>
      <c r="Q13" s="455">
        <f t="shared" si="1"/>
        <v>595.91976684381962</v>
      </c>
      <c r="R13" s="689">
        <v>2427</v>
      </c>
      <c r="S13" s="689">
        <f t="shared" si="2"/>
        <v>5366</v>
      </c>
      <c r="T13">
        <f t="shared" si="3"/>
        <v>-1637</v>
      </c>
    </row>
    <row r="14" spans="1:20" ht="15.75">
      <c r="A14" s="320">
        <v>6</v>
      </c>
      <c r="B14" s="385" t="s">
        <v>894</v>
      </c>
      <c r="C14" s="489">
        <v>1748</v>
      </c>
      <c r="D14" s="577">
        <v>236</v>
      </c>
      <c r="E14" s="577">
        <v>379</v>
      </c>
      <c r="F14" s="577">
        <v>44</v>
      </c>
      <c r="G14" s="577">
        <v>0</v>
      </c>
      <c r="H14" s="577">
        <v>1089</v>
      </c>
      <c r="I14" s="578">
        <v>1748</v>
      </c>
      <c r="J14" s="578">
        <v>1748</v>
      </c>
      <c r="K14" s="235" t="s">
        <v>989</v>
      </c>
      <c r="L14" s="235" t="s">
        <v>989</v>
      </c>
      <c r="M14" s="235" t="s">
        <v>989</v>
      </c>
      <c r="N14" s="235" t="s">
        <v>989</v>
      </c>
      <c r="O14" s="694">
        <f t="shared" si="0"/>
        <v>1748</v>
      </c>
      <c r="Q14" s="455">
        <f t="shared" si="1"/>
        <v>178.02160123435624</v>
      </c>
      <c r="R14" s="689">
        <v>723</v>
      </c>
      <c r="S14" s="689">
        <f t="shared" si="2"/>
        <v>1812</v>
      </c>
      <c r="T14">
        <f t="shared" si="3"/>
        <v>-487</v>
      </c>
    </row>
    <row r="15" spans="1:20" ht="15.75">
      <c r="A15" s="320">
        <v>7</v>
      </c>
      <c r="B15" s="385" t="s">
        <v>895</v>
      </c>
      <c r="C15" s="489">
        <v>2911</v>
      </c>
      <c r="D15" s="577">
        <v>341</v>
      </c>
      <c r="E15" s="577">
        <v>648</v>
      </c>
      <c r="F15" s="577">
        <v>282</v>
      </c>
      <c r="G15" s="577">
        <v>0</v>
      </c>
      <c r="H15" s="577">
        <v>1640</v>
      </c>
      <c r="I15" s="578">
        <v>2911</v>
      </c>
      <c r="J15" s="578">
        <v>2911</v>
      </c>
      <c r="K15" s="235" t="s">
        <v>989</v>
      </c>
      <c r="L15" s="235" t="s">
        <v>989</v>
      </c>
      <c r="M15" s="235" t="s">
        <v>989</v>
      </c>
      <c r="N15" s="235" t="s">
        <v>989</v>
      </c>
      <c r="O15" s="694">
        <f t="shared" si="0"/>
        <v>2911</v>
      </c>
      <c r="Q15" s="455">
        <f t="shared" si="1"/>
        <v>257.22612720726897</v>
      </c>
      <c r="R15" s="689">
        <v>1046</v>
      </c>
      <c r="S15" s="689">
        <f t="shared" si="2"/>
        <v>2686</v>
      </c>
      <c r="T15">
        <f t="shared" si="3"/>
        <v>-705</v>
      </c>
    </row>
    <row r="16" spans="1:20" ht="15.75">
      <c r="A16" s="320">
        <v>8</v>
      </c>
      <c r="B16" s="385" t="s">
        <v>896</v>
      </c>
      <c r="C16" s="489">
        <v>1975</v>
      </c>
      <c r="D16" s="577">
        <v>97</v>
      </c>
      <c r="E16" s="577">
        <v>1539</v>
      </c>
      <c r="F16" s="577">
        <v>8</v>
      </c>
      <c r="G16" s="577">
        <v>0</v>
      </c>
      <c r="H16" s="577">
        <v>331</v>
      </c>
      <c r="I16" s="578">
        <v>1975</v>
      </c>
      <c r="J16" s="578">
        <v>1975</v>
      </c>
      <c r="K16" s="235" t="s">
        <v>989</v>
      </c>
      <c r="L16" s="235" t="s">
        <v>989</v>
      </c>
      <c r="M16" s="235" t="s">
        <v>989</v>
      </c>
      <c r="N16" s="235" t="s">
        <v>989</v>
      </c>
      <c r="O16" s="694">
        <f t="shared" si="0"/>
        <v>1975</v>
      </c>
      <c r="Q16" s="455">
        <f t="shared" si="1"/>
        <v>73.169895422595573</v>
      </c>
      <c r="R16" s="689">
        <v>298</v>
      </c>
      <c r="S16" s="689">
        <f t="shared" si="2"/>
        <v>629</v>
      </c>
      <c r="T16">
        <f t="shared" si="3"/>
        <v>-201</v>
      </c>
    </row>
    <row r="17" spans="1:20" ht="15">
      <c r="A17" s="320">
        <v>9</v>
      </c>
      <c r="B17" s="385" t="s">
        <v>897</v>
      </c>
      <c r="C17" s="493">
        <v>1280</v>
      </c>
      <c r="D17" s="575">
        <v>0</v>
      </c>
      <c r="E17" s="575">
        <v>901</v>
      </c>
      <c r="F17" s="575">
        <v>182</v>
      </c>
      <c r="G17" s="575">
        <v>0</v>
      </c>
      <c r="H17" s="575">
        <v>197</v>
      </c>
      <c r="I17" s="576">
        <v>1280</v>
      </c>
      <c r="J17" s="576">
        <v>1280</v>
      </c>
      <c r="K17" s="235" t="s">
        <v>989</v>
      </c>
      <c r="L17" s="235" t="s">
        <v>989</v>
      </c>
      <c r="M17" s="235" t="s">
        <v>989</v>
      </c>
      <c r="N17" s="235" t="s">
        <v>989</v>
      </c>
      <c r="O17" s="694">
        <f t="shared" si="0"/>
        <v>1280</v>
      </c>
      <c r="Q17" s="455">
        <f t="shared" si="1"/>
        <v>0</v>
      </c>
      <c r="R17" s="689">
        <v>0</v>
      </c>
      <c r="S17" s="689">
        <f t="shared" si="2"/>
        <v>197</v>
      </c>
      <c r="T17">
        <f t="shared" si="3"/>
        <v>0</v>
      </c>
    </row>
    <row r="18" spans="1:20" ht="15">
      <c r="A18" s="320">
        <v>10</v>
      </c>
      <c r="B18" s="385" t="s">
        <v>898</v>
      </c>
      <c r="C18" s="493">
        <v>1832</v>
      </c>
      <c r="D18" s="575">
        <v>220</v>
      </c>
      <c r="E18" s="575">
        <v>124</v>
      </c>
      <c r="F18" s="575">
        <v>295</v>
      </c>
      <c r="G18" s="575">
        <v>0</v>
      </c>
      <c r="H18" s="575">
        <v>1193</v>
      </c>
      <c r="I18" s="576">
        <v>1832</v>
      </c>
      <c r="J18" s="576">
        <v>1832</v>
      </c>
      <c r="K18" s="235" t="s">
        <v>989</v>
      </c>
      <c r="L18" s="235" t="s">
        <v>989</v>
      </c>
      <c r="M18" s="235" t="s">
        <v>989</v>
      </c>
      <c r="N18" s="235" t="s">
        <v>989</v>
      </c>
      <c r="O18" s="694">
        <f t="shared" si="0"/>
        <v>1832</v>
      </c>
      <c r="Q18" s="455">
        <f t="shared" si="1"/>
        <v>165.95234013372192</v>
      </c>
      <c r="R18" s="689">
        <v>676</v>
      </c>
      <c r="S18" s="689">
        <f t="shared" si="2"/>
        <v>1869</v>
      </c>
      <c r="T18">
        <f t="shared" si="3"/>
        <v>-456</v>
      </c>
    </row>
    <row r="19" spans="1:20" ht="15">
      <c r="A19" s="320">
        <v>11</v>
      </c>
      <c r="B19" s="385" t="s">
        <v>899</v>
      </c>
      <c r="C19" s="493">
        <v>1414</v>
      </c>
      <c r="D19" s="575">
        <v>223</v>
      </c>
      <c r="E19" s="575">
        <v>125</v>
      </c>
      <c r="F19" s="575">
        <v>64</v>
      </c>
      <c r="G19" s="575">
        <v>260</v>
      </c>
      <c r="H19" s="575">
        <v>742</v>
      </c>
      <c r="I19" s="576">
        <v>1414</v>
      </c>
      <c r="J19" s="576">
        <v>1414</v>
      </c>
      <c r="K19" s="235" t="s">
        <v>989</v>
      </c>
      <c r="L19" s="235" t="s">
        <v>989</v>
      </c>
      <c r="M19" s="235" t="s">
        <v>989</v>
      </c>
      <c r="N19" s="235" t="s">
        <v>989</v>
      </c>
      <c r="O19" s="694">
        <f t="shared" si="0"/>
        <v>1414</v>
      </c>
      <c r="Q19" s="455">
        <f t="shared" si="1"/>
        <v>168.21532659009085</v>
      </c>
      <c r="R19" s="689">
        <v>685</v>
      </c>
      <c r="S19" s="689">
        <f t="shared" si="2"/>
        <v>1427</v>
      </c>
      <c r="T19">
        <f t="shared" si="3"/>
        <v>-462</v>
      </c>
    </row>
    <row r="20" spans="1:20" ht="15">
      <c r="A20" s="320">
        <v>12</v>
      </c>
      <c r="B20" s="385" t="s">
        <v>900</v>
      </c>
      <c r="C20" s="493">
        <v>1534</v>
      </c>
      <c r="D20" s="575">
        <v>155</v>
      </c>
      <c r="E20" s="575">
        <v>372</v>
      </c>
      <c r="F20" s="575">
        <v>255</v>
      </c>
      <c r="G20" s="575">
        <v>0</v>
      </c>
      <c r="H20" s="575">
        <v>752</v>
      </c>
      <c r="I20" s="576">
        <v>1534</v>
      </c>
      <c r="J20" s="576">
        <v>1534</v>
      </c>
      <c r="K20" s="235" t="s">
        <v>989</v>
      </c>
      <c r="L20" s="235" t="s">
        <v>989</v>
      </c>
      <c r="M20" s="235" t="s">
        <v>989</v>
      </c>
      <c r="N20" s="235" t="s">
        <v>989</v>
      </c>
      <c r="O20" s="694">
        <f t="shared" si="0"/>
        <v>1534</v>
      </c>
      <c r="Q20" s="455">
        <f t="shared" si="1"/>
        <v>116.92096691239499</v>
      </c>
      <c r="R20" s="689">
        <v>475</v>
      </c>
      <c r="S20" s="689">
        <f t="shared" si="2"/>
        <v>1227</v>
      </c>
      <c r="T20">
        <f t="shared" si="3"/>
        <v>-320</v>
      </c>
    </row>
    <row r="21" spans="1:20" ht="15">
      <c r="A21" s="320">
        <v>13</v>
      </c>
      <c r="B21" s="385" t="s">
        <v>901</v>
      </c>
      <c r="C21" s="493">
        <v>1150</v>
      </c>
      <c r="D21" s="575">
        <v>19</v>
      </c>
      <c r="E21" s="575">
        <v>93</v>
      </c>
      <c r="F21" s="575">
        <v>849</v>
      </c>
      <c r="G21" s="575">
        <v>0</v>
      </c>
      <c r="H21" s="575">
        <v>189</v>
      </c>
      <c r="I21" s="576">
        <v>1150</v>
      </c>
      <c r="J21" s="576">
        <v>1150</v>
      </c>
      <c r="K21" s="235" t="s">
        <v>989</v>
      </c>
      <c r="L21" s="235" t="s">
        <v>989</v>
      </c>
      <c r="M21" s="235" t="s">
        <v>989</v>
      </c>
      <c r="N21" s="235" t="s">
        <v>989</v>
      </c>
      <c r="O21" s="694">
        <f t="shared" si="0"/>
        <v>1150</v>
      </c>
      <c r="Q21" s="455">
        <f t="shared" si="1"/>
        <v>14.332247557003257</v>
      </c>
      <c r="R21" s="689">
        <v>58</v>
      </c>
      <c r="S21" s="689">
        <f t="shared" si="2"/>
        <v>247</v>
      </c>
      <c r="T21">
        <f t="shared" si="3"/>
        <v>-39</v>
      </c>
    </row>
    <row r="22" spans="1:20" ht="15">
      <c r="A22" s="320">
        <v>14</v>
      </c>
      <c r="B22" s="385" t="s">
        <v>902</v>
      </c>
      <c r="C22" s="493">
        <v>2239</v>
      </c>
      <c r="D22" s="575">
        <v>166</v>
      </c>
      <c r="E22" s="575">
        <v>102</v>
      </c>
      <c r="F22" s="575">
        <v>790</v>
      </c>
      <c r="G22" s="575">
        <v>0</v>
      </c>
      <c r="H22" s="575">
        <v>1181</v>
      </c>
      <c r="I22" s="576">
        <v>2239</v>
      </c>
      <c r="J22" s="576">
        <v>2239</v>
      </c>
      <c r="K22" s="235" t="s">
        <v>989</v>
      </c>
      <c r="L22" s="235" t="s">
        <v>989</v>
      </c>
      <c r="M22" s="235" t="s">
        <v>989</v>
      </c>
      <c r="N22" s="235" t="s">
        <v>989</v>
      </c>
      <c r="O22" s="694">
        <f t="shared" si="0"/>
        <v>2239</v>
      </c>
      <c r="Q22" s="455">
        <f t="shared" si="1"/>
        <v>125.21858391908108</v>
      </c>
      <c r="R22" s="689">
        <v>508</v>
      </c>
      <c r="S22" s="689">
        <f t="shared" si="2"/>
        <v>1689</v>
      </c>
      <c r="T22">
        <f t="shared" si="3"/>
        <v>-342</v>
      </c>
    </row>
    <row r="23" spans="1:20" ht="15">
      <c r="A23" s="320">
        <v>15</v>
      </c>
      <c r="B23" s="385" t="s">
        <v>903</v>
      </c>
      <c r="C23" s="493">
        <v>1924</v>
      </c>
      <c r="D23" s="575">
        <v>189</v>
      </c>
      <c r="E23" s="575">
        <v>1129</v>
      </c>
      <c r="F23" s="575">
        <v>0</v>
      </c>
      <c r="G23" s="575">
        <v>0</v>
      </c>
      <c r="H23" s="575">
        <v>606</v>
      </c>
      <c r="I23" s="576">
        <v>1924</v>
      </c>
      <c r="J23" s="576">
        <v>1924</v>
      </c>
      <c r="K23" s="235" t="s">
        <v>989</v>
      </c>
      <c r="L23" s="235" t="s">
        <v>989</v>
      </c>
      <c r="M23" s="235" t="s">
        <v>989</v>
      </c>
      <c r="N23" s="235" t="s">
        <v>989</v>
      </c>
      <c r="O23" s="694">
        <f t="shared" si="0"/>
        <v>1924</v>
      </c>
      <c r="Q23" s="455">
        <f t="shared" si="1"/>
        <v>142.56814675124292</v>
      </c>
      <c r="R23" s="689">
        <v>581</v>
      </c>
      <c r="S23" s="689">
        <f t="shared" si="2"/>
        <v>1187</v>
      </c>
      <c r="T23">
        <f t="shared" si="3"/>
        <v>-392</v>
      </c>
    </row>
    <row r="24" spans="1:20" ht="15">
      <c r="A24" s="320">
        <v>16</v>
      </c>
      <c r="B24" s="385" t="s">
        <v>904</v>
      </c>
      <c r="C24" s="493">
        <v>1094</v>
      </c>
      <c r="D24" s="575">
        <v>32</v>
      </c>
      <c r="E24" s="575">
        <v>510</v>
      </c>
      <c r="F24" s="575">
        <v>140</v>
      </c>
      <c r="G24" s="575">
        <v>49</v>
      </c>
      <c r="H24" s="575">
        <v>363</v>
      </c>
      <c r="I24" s="576">
        <v>1094</v>
      </c>
      <c r="J24" s="576">
        <v>1094</v>
      </c>
      <c r="K24" s="235" t="s">
        <v>989</v>
      </c>
      <c r="L24" s="235" t="s">
        <v>989</v>
      </c>
      <c r="M24" s="235" t="s">
        <v>989</v>
      </c>
      <c r="N24" s="235" t="s">
        <v>989</v>
      </c>
      <c r="O24" s="694">
        <f t="shared" si="0"/>
        <v>1094</v>
      </c>
      <c r="Q24" s="455">
        <f t="shared" si="1"/>
        <v>24.138522201268643</v>
      </c>
      <c r="R24" s="689">
        <v>99</v>
      </c>
      <c r="S24" s="689">
        <f t="shared" si="2"/>
        <v>462</v>
      </c>
      <c r="T24">
        <f t="shared" si="3"/>
        <v>-67</v>
      </c>
    </row>
    <row r="25" spans="1:20" ht="15">
      <c r="A25" s="320">
        <v>17</v>
      </c>
      <c r="B25" s="385" t="s">
        <v>905</v>
      </c>
      <c r="C25" s="493">
        <v>3651</v>
      </c>
      <c r="D25" s="575">
        <v>298</v>
      </c>
      <c r="E25" s="575">
        <v>2076</v>
      </c>
      <c r="F25" s="575">
        <v>71</v>
      </c>
      <c r="G25" s="575"/>
      <c r="H25" s="575">
        <v>1206</v>
      </c>
      <c r="I25" s="576">
        <v>3651</v>
      </c>
      <c r="J25" s="576">
        <v>3651</v>
      </c>
      <c r="K25" s="235" t="s">
        <v>989</v>
      </c>
      <c r="L25" s="235" t="s">
        <v>989</v>
      </c>
      <c r="M25" s="235" t="s">
        <v>989</v>
      </c>
      <c r="N25" s="235" t="s">
        <v>989</v>
      </c>
      <c r="O25" s="694">
        <f t="shared" si="0"/>
        <v>3651</v>
      </c>
      <c r="Q25" s="455">
        <f t="shared" si="1"/>
        <v>224.78998799931423</v>
      </c>
      <c r="R25" s="689">
        <v>915</v>
      </c>
      <c r="S25" s="689">
        <f t="shared" si="2"/>
        <v>2121</v>
      </c>
      <c r="T25">
        <f t="shared" si="3"/>
        <v>-617</v>
      </c>
    </row>
    <row r="26" spans="1:20" ht="15">
      <c r="A26" s="320">
        <v>18</v>
      </c>
      <c r="B26" s="385" t="s">
        <v>906</v>
      </c>
      <c r="C26" s="493">
        <v>1280</v>
      </c>
      <c r="D26" s="575">
        <v>43</v>
      </c>
      <c r="E26" s="575">
        <v>173</v>
      </c>
      <c r="F26" s="575">
        <v>202</v>
      </c>
      <c r="G26" s="575">
        <v>0</v>
      </c>
      <c r="H26" s="575">
        <v>862</v>
      </c>
      <c r="I26" s="576">
        <v>1280</v>
      </c>
      <c r="J26" s="576">
        <v>1280</v>
      </c>
      <c r="K26" s="235" t="s">
        <v>989</v>
      </c>
      <c r="L26" s="235" t="s">
        <v>989</v>
      </c>
      <c r="M26" s="235" t="s">
        <v>989</v>
      </c>
      <c r="N26" s="235" t="s">
        <v>989</v>
      </c>
      <c r="O26" s="694">
        <f t="shared" si="0"/>
        <v>1280</v>
      </c>
      <c r="Q26" s="455">
        <f t="shared" si="1"/>
        <v>32.436139207954739</v>
      </c>
      <c r="R26" s="689">
        <v>132</v>
      </c>
      <c r="S26" s="689">
        <f t="shared" si="2"/>
        <v>994</v>
      </c>
      <c r="T26">
        <f t="shared" si="3"/>
        <v>-89</v>
      </c>
    </row>
    <row r="27" spans="1:20" ht="15">
      <c r="A27" s="320">
        <v>19</v>
      </c>
      <c r="B27" s="385" t="s">
        <v>907</v>
      </c>
      <c r="C27" s="493">
        <v>1908</v>
      </c>
      <c r="D27" s="575">
        <v>179</v>
      </c>
      <c r="E27" s="575">
        <v>920</v>
      </c>
      <c r="F27" s="575">
        <v>0</v>
      </c>
      <c r="G27" s="575">
        <v>0</v>
      </c>
      <c r="H27" s="575">
        <v>809</v>
      </c>
      <c r="I27" s="576">
        <v>1908</v>
      </c>
      <c r="J27" s="576">
        <v>1908</v>
      </c>
      <c r="K27" s="235" t="s">
        <v>989</v>
      </c>
      <c r="L27" s="235" t="s">
        <v>989</v>
      </c>
      <c r="M27" s="235" t="s">
        <v>989</v>
      </c>
      <c r="N27" s="235" t="s">
        <v>989</v>
      </c>
      <c r="O27" s="694">
        <f t="shared" si="0"/>
        <v>1908</v>
      </c>
      <c r="Q27" s="455">
        <f t="shared" si="1"/>
        <v>135.02485856334647</v>
      </c>
      <c r="R27" s="689">
        <v>548</v>
      </c>
      <c r="S27" s="689">
        <f t="shared" si="2"/>
        <v>1357</v>
      </c>
      <c r="T27">
        <f t="shared" si="3"/>
        <v>-369</v>
      </c>
    </row>
    <row r="28" spans="1:20" ht="15">
      <c r="A28" s="320">
        <v>20</v>
      </c>
      <c r="B28" s="385" t="s">
        <v>908</v>
      </c>
      <c r="C28" s="493">
        <v>1754</v>
      </c>
      <c r="D28" s="575">
        <v>328</v>
      </c>
      <c r="E28" s="575">
        <v>274</v>
      </c>
      <c r="F28" s="575">
        <v>40</v>
      </c>
      <c r="G28" s="575">
        <v>12</v>
      </c>
      <c r="H28" s="575">
        <v>1100</v>
      </c>
      <c r="I28" s="576">
        <v>1754</v>
      </c>
      <c r="J28" s="576">
        <v>1754</v>
      </c>
      <c r="K28" s="235" t="s">
        <v>989</v>
      </c>
      <c r="L28" s="235" t="s">
        <v>989</v>
      </c>
      <c r="M28" s="235" t="s">
        <v>989</v>
      </c>
      <c r="N28" s="235" t="s">
        <v>989</v>
      </c>
      <c r="O28" s="694">
        <f t="shared" si="0"/>
        <v>1754</v>
      </c>
      <c r="Q28" s="455">
        <f t="shared" si="1"/>
        <v>247.41985256300359</v>
      </c>
      <c r="R28" s="689">
        <v>1009</v>
      </c>
      <c r="S28" s="689">
        <f t="shared" si="2"/>
        <v>2109</v>
      </c>
      <c r="T28">
        <f t="shared" si="3"/>
        <v>-681</v>
      </c>
    </row>
    <row r="29" spans="1:20" ht="15">
      <c r="A29" s="320">
        <v>21</v>
      </c>
      <c r="B29" s="385" t="s">
        <v>909</v>
      </c>
      <c r="C29" s="493">
        <v>1554</v>
      </c>
      <c r="D29" s="575">
        <v>273</v>
      </c>
      <c r="E29" s="575">
        <v>358</v>
      </c>
      <c r="F29" s="575">
        <v>10</v>
      </c>
      <c r="G29" s="575">
        <v>0</v>
      </c>
      <c r="H29" s="575">
        <v>913</v>
      </c>
      <c r="I29" s="576">
        <v>1554</v>
      </c>
      <c r="J29" s="576">
        <v>1554</v>
      </c>
      <c r="K29" s="235" t="s">
        <v>989</v>
      </c>
      <c r="L29" s="235" t="s">
        <v>989</v>
      </c>
      <c r="M29" s="235" t="s">
        <v>989</v>
      </c>
      <c r="N29" s="235" t="s">
        <v>989</v>
      </c>
      <c r="O29" s="694">
        <f t="shared" si="0"/>
        <v>1554</v>
      </c>
      <c r="Q29" s="455">
        <f t="shared" si="1"/>
        <v>205.93176752957311</v>
      </c>
      <c r="R29" s="689">
        <v>840</v>
      </c>
      <c r="S29" s="689">
        <f t="shared" si="2"/>
        <v>1753</v>
      </c>
      <c r="T29">
        <f t="shared" si="3"/>
        <v>-567</v>
      </c>
    </row>
    <row r="30" spans="1:20" ht="15">
      <c r="A30" s="320">
        <v>22</v>
      </c>
      <c r="B30" s="385" t="s">
        <v>910</v>
      </c>
      <c r="C30" s="493">
        <v>3507</v>
      </c>
      <c r="D30" s="575">
        <v>266</v>
      </c>
      <c r="E30" s="575">
        <v>747</v>
      </c>
      <c r="F30" s="575">
        <v>1419</v>
      </c>
      <c r="G30" s="575">
        <v>94</v>
      </c>
      <c r="H30" s="575">
        <v>981</v>
      </c>
      <c r="I30" s="576">
        <v>3507</v>
      </c>
      <c r="J30" s="576">
        <v>3507</v>
      </c>
      <c r="K30" s="235" t="s">
        <v>989</v>
      </c>
      <c r="L30" s="235" t="s">
        <v>989</v>
      </c>
      <c r="M30" s="235" t="s">
        <v>989</v>
      </c>
      <c r="N30" s="235" t="s">
        <v>989</v>
      </c>
      <c r="O30" s="694">
        <f t="shared" si="0"/>
        <v>3507</v>
      </c>
      <c r="Q30" s="455">
        <f t="shared" si="1"/>
        <v>200.65146579804559</v>
      </c>
      <c r="R30" s="689">
        <v>817</v>
      </c>
      <c r="S30" s="689">
        <f t="shared" si="2"/>
        <v>1798</v>
      </c>
      <c r="T30">
        <f t="shared" si="3"/>
        <v>-551</v>
      </c>
    </row>
    <row r="31" spans="1:20" ht="15">
      <c r="A31" s="320">
        <v>23</v>
      </c>
      <c r="B31" s="385" t="s">
        <v>911</v>
      </c>
      <c r="C31" s="493">
        <v>1413</v>
      </c>
      <c r="D31" s="575">
        <v>177</v>
      </c>
      <c r="E31" s="575">
        <v>245</v>
      </c>
      <c r="F31" s="575">
        <v>273</v>
      </c>
      <c r="G31" s="575">
        <v>0</v>
      </c>
      <c r="H31" s="575">
        <v>718</v>
      </c>
      <c r="I31" s="576">
        <v>1413</v>
      </c>
      <c r="J31" s="576">
        <v>1413</v>
      </c>
      <c r="K31" s="235" t="s">
        <v>989</v>
      </c>
      <c r="L31" s="235" t="s">
        <v>989</v>
      </c>
      <c r="M31" s="235" t="s">
        <v>989</v>
      </c>
      <c r="N31" s="235" t="s">
        <v>989</v>
      </c>
      <c r="O31" s="694">
        <f t="shared" si="0"/>
        <v>1413</v>
      </c>
      <c r="Q31" s="455">
        <f t="shared" si="1"/>
        <v>133.51620092576718</v>
      </c>
      <c r="R31" s="689">
        <v>543</v>
      </c>
      <c r="S31" s="689">
        <f t="shared" si="2"/>
        <v>1261</v>
      </c>
      <c r="T31">
        <f t="shared" si="3"/>
        <v>-366</v>
      </c>
    </row>
    <row r="32" spans="1:20" ht="15">
      <c r="A32" s="320">
        <v>24</v>
      </c>
      <c r="B32" s="385" t="s">
        <v>912</v>
      </c>
      <c r="C32" s="493">
        <v>1146</v>
      </c>
      <c r="D32" s="575">
        <v>80</v>
      </c>
      <c r="E32" s="575">
        <v>435</v>
      </c>
      <c r="F32" s="575">
        <v>374</v>
      </c>
      <c r="G32" s="575">
        <v>0</v>
      </c>
      <c r="H32" s="575">
        <v>257</v>
      </c>
      <c r="I32" s="576">
        <v>1146</v>
      </c>
      <c r="J32" s="576">
        <v>1146</v>
      </c>
      <c r="K32" s="235" t="s">
        <v>989</v>
      </c>
      <c r="L32" s="235" t="s">
        <v>989</v>
      </c>
      <c r="M32" s="235" t="s">
        <v>989</v>
      </c>
      <c r="N32" s="235" t="s">
        <v>989</v>
      </c>
      <c r="O32" s="694">
        <f t="shared" si="0"/>
        <v>1146</v>
      </c>
      <c r="Q32" s="455">
        <f t="shared" si="1"/>
        <v>60.346305503171607</v>
      </c>
      <c r="R32" s="689">
        <v>247</v>
      </c>
      <c r="S32" s="689">
        <f t="shared" si="2"/>
        <v>504</v>
      </c>
      <c r="T32">
        <f t="shared" si="3"/>
        <v>-167</v>
      </c>
    </row>
    <row r="33" spans="1:20" ht="15">
      <c r="A33" s="320">
        <v>25</v>
      </c>
      <c r="B33" s="385" t="s">
        <v>913</v>
      </c>
      <c r="C33" s="493">
        <v>3117</v>
      </c>
      <c r="D33" s="575">
        <v>317</v>
      </c>
      <c r="E33" s="575">
        <v>1326</v>
      </c>
      <c r="F33" s="575">
        <v>287</v>
      </c>
      <c r="G33" s="575">
        <v>80</v>
      </c>
      <c r="H33" s="575">
        <v>1107</v>
      </c>
      <c r="I33" s="576">
        <v>3117</v>
      </c>
      <c r="J33" s="576">
        <v>3117</v>
      </c>
      <c r="K33" s="235" t="s">
        <v>989</v>
      </c>
      <c r="L33" s="235" t="s">
        <v>989</v>
      </c>
      <c r="M33" s="235" t="s">
        <v>989</v>
      </c>
      <c r="N33" s="235" t="s">
        <v>989</v>
      </c>
      <c r="O33" s="694">
        <f t="shared" si="0"/>
        <v>3117</v>
      </c>
      <c r="Q33" s="455">
        <f t="shared" si="1"/>
        <v>239.12223555631749</v>
      </c>
      <c r="R33" s="689">
        <v>975</v>
      </c>
      <c r="S33" s="689">
        <f t="shared" si="2"/>
        <v>2082</v>
      </c>
      <c r="T33">
        <f t="shared" si="3"/>
        <v>-658</v>
      </c>
    </row>
    <row r="34" spans="1:20" ht="15">
      <c r="A34" s="320">
        <v>26</v>
      </c>
      <c r="B34" s="385" t="s">
        <v>914</v>
      </c>
      <c r="C34" s="493">
        <v>1811</v>
      </c>
      <c r="D34" s="575">
        <v>434</v>
      </c>
      <c r="E34" s="575">
        <v>12</v>
      </c>
      <c r="F34" s="575">
        <v>7</v>
      </c>
      <c r="G34" s="575">
        <v>0</v>
      </c>
      <c r="H34" s="575">
        <v>1358</v>
      </c>
      <c r="I34" s="576">
        <v>1811</v>
      </c>
      <c r="J34" s="576">
        <v>1811</v>
      </c>
      <c r="K34" s="235" t="s">
        <v>989</v>
      </c>
      <c r="L34" s="235" t="s">
        <v>989</v>
      </c>
      <c r="M34" s="235" t="s">
        <v>989</v>
      </c>
      <c r="N34" s="235" t="s">
        <v>989</v>
      </c>
      <c r="O34" s="694">
        <f t="shared" si="0"/>
        <v>1811</v>
      </c>
      <c r="Q34" s="455">
        <f t="shared" si="1"/>
        <v>327.37870735470597</v>
      </c>
      <c r="R34" s="689">
        <v>1332</v>
      </c>
      <c r="S34" s="689">
        <f t="shared" si="2"/>
        <v>2690</v>
      </c>
      <c r="T34">
        <f t="shared" si="3"/>
        <v>-898</v>
      </c>
    </row>
    <row r="35" spans="1:20" ht="15">
      <c r="A35" s="320">
        <v>27</v>
      </c>
      <c r="B35" s="385" t="s">
        <v>915</v>
      </c>
      <c r="C35" s="493">
        <v>1355</v>
      </c>
      <c r="D35" s="575">
        <v>97</v>
      </c>
      <c r="E35" s="575">
        <v>79</v>
      </c>
      <c r="F35" s="575">
        <v>875</v>
      </c>
      <c r="G35" s="575">
        <v>0</v>
      </c>
      <c r="H35" s="575">
        <v>304</v>
      </c>
      <c r="I35" s="576">
        <v>1355</v>
      </c>
      <c r="J35" s="576">
        <v>1355</v>
      </c>
      <c r="K35" s="235" t="s">
        <v>989</v>
      </c>
      <c r="L35" s="235" t="s">
        <v>989</v>
      </c>
      <c r="M35" s="235" t="s">
        <v>989</v>
      </c>
      <c r="N35" s="235" t="s">
        <v>989</v>
      </c>
      <c r="O35" s="694">
        <f t="shared" si="0"/>
        <v>1355</v>
      </c>
      <c r="Q35" s="455">
        <f t="shared" si="1"/>
        <v>73.169895422595573</v>
      </c>
      <c r="R35" s="689">
        <v>299</v>
      </c>
      <c r="S35" s="689">
        <f t="shared" si="2"/>
        <v>603</v>
      </c>
      <c r="T35">
        <f t="shared" si="3"/>
        <v>-202</v>
      </c>
    </row>
    <row r="36" spans="1:20" ht="15">
      <c r="A36" s="320">
        <v>28</v>
      </c>
      <c r="B36" s="385" t="s">
        <v>916</v>
      </c>
      <c r="C36" s="493">
        <v>1687</v>
      </c>
      <c r="D36" s="575">
        <v>287</v>
      </c>
      <c r="E36" s="575">
        <v>0</v>
      </c>
      <c r="F36" s="575">
        <v>446</v>
      </c>
      <c r="G36" s="575">
        <v>0</v>
      </c>
      <c r="H36" s="575">
        <v>954</v>
      </c>
      <c r="I36" s="576">
        <v>1687</v>
      </c>
      <c r="J36" s="576">
        <v>1687</v>
      </c>
      <c r="K36" s="235" t="s">
        <v>989</v>
      </c>
      <c r="L36" s="235" t="s">
        <v>989</v>
      </c>
      <c r="M36" s="235" t="s">
        <v>989</v>
      </c>
      <c r="N36" s="235" t="s">
        <v>989</v>
      </c>
      <c r="O36" s="694">
        <f t="shared" si="0"/>
        <v>1687</v>
      </c>
      <c r="Q36" s="455">
        <f t="shared" si="1"/>
        <v>216.49237099262814</v>
      </c>
      <c r="R36" s="689">
        <v>882</v>
      </c>
      <c r="S36" s="689">
        <f t="shared" si="2"/>
        <v>1836</v>
      </c>
      <c r="T36">
        <f t="shared" si="3"/>
        <v>-595</v>
      </c>
    </row>
    <row r="37" spans="1:20" ht="15">
      <c r="A37" s="320">
        <v>29</v>
      </c>
      <c r="B37" s="385" t="s">
        <v>917</v>
      </c>
      <c r="C37" s="493">
        <v>1123</v>
      </c>
      <c r="D37" s="575">
        <v>32</v>
      </c>
      <c r="E37" s="575">
        <v>148</v>
      </c>
      <c r="F37" s="575">
        <v>698</v>
      </c>
      <c r="G37" s="575">
        <v>38</v>
      </c>
      <c r="H37" s="575">
        <v>207</v>
      </c>
      <c r="I37" s="576">
        <v>1123</v>
      </c>
      <c r="J37" s="576">
        <v>1123</v>
      </c>
      <c r="K37" s="235" t="s">
        <v>989</v>
      </c>
      <c r="L37" s="235" t="s">
        <v>989</v>
      </c>
      <c r="M37" s="235" t="s">
        <v>989</v>
      </c>
      <c r="N37" s="235" t="s">
        <v>989</v>
      </c>
      <c r="O37" s="694">
        <f t="shared" si="0"/>
        <v>1123</v>
      </c>
      <c r="Q37" s="455">
        <f t="shared" si="1"/>
        <v>24.138522201268643</v>
      </c>
      <c r="R37" s="689">
        <v>100</v>
      </c>
      <c r="S37" s="689">
        <f t="shared" si="2"/>
        <v>307</v>
      </c>
      <c r="T37">
        <f t="shared" si="3"/>
        <v>-68</v>
      </c>
    </row>
    <row r="38" spans="1:20" ht="15">
      <c r="A38" s="320">
        <v>30</v>
      </c>
      <c r="B38" s="385" t="s">
        <v>918</v>
      </c>
      <c r="C38" s="493">
        <v>1945</v>
      </c>
      <c r="D38" s="575">
        <v>157</v>
      </c>
      <c r="E38" s="575">
        <v>1108</v>
      </c>
      <c r="F38" s="575">
        <v>165</v>
      </c>
      <c r="G38" s="575">
        <v>0</v>
      </c>
      <c r="H38" s="575">
        <v>515</v>
      </c>
      <c r="I38" s="576">
        <v>1945</v>
      </c>
      <c r="J38" s="576">
        <v>1945</v>
      </c>
      <c r="K38" s="235" t="s">
        <v>989</v>
      </c>
      <c r="L38" s="235" t="s">
        <v>989</v>
      </c>
      <c r="M38" s="235" t="s">
        <v>989</v>
      </c>
      <c r="N38" s="235" t="s">
        <v>989</v>
      </c>
      <c r="O38" s="694">
        <f t="shared" si="0"/>
        <v>1945</v>
      </c>
      <c r="Q38" s="455">
        <f t="shared" si="1"/>
        <v>118.42962454997428</v>
      </c>
      <c r="R38" s="689">
        <v>484</v>
      </c>
      <c r="S38" s="689">
        <f t="shared" si="2"/>
        <v>999</v>
      </c>
      <c r="T38">
        <f t="shared" si="3"/>
        <v>-327</v>
      </c>
    </row>
    <row r="39" spans="1:20" ht="15">
      <c r="A39" s="320">
        <v>31</v>
      </c>
      <c r="B39" s="385" t="s">
        <v>919</v>
      </c>
      <c r="C39" s="493">
        <v>929</v>
      </c>
      <c r="D39" s="575">
        <v>39</v>
      </c>
      <c r="E39" s="575">
        <v>226</v>
      </c>
      <c r="F39" s="575">
        <v>520</v>
      </c>
      <c r="G39" s="575">
        <v>0</v>
      </c>
      <c r="H39" s="575">
        <v>144</v>
      </c>
      <c r="I39" s="576">
        <v>929</v>
      </c>
      <c r="J39" s="576">
        <v>929</v>
      </c>
      <c r="K39" s="235" t="s">
        <v>989</v>
      </c>
      <c r="L39" s="235" t="s">
        <v>989</v>
      </c>
      <c r="M39" s="235" t="s">
        <v>989</v>
      </c>
      <c r="N39" s="235" t="s">
        <v>989</v>
      </c>
      <c r="O39" s="694">
        <f t="shared" si="0"/>
        <v>929</v>
      </c>
      <c r="Q39" s="455">
        <f t="shared" si="1"/>
        <v>29.418823932796158</v>
      </c>
      <c r="R39" s="689">
        <v>119</v>
      </c>
      <c r="S39" s="689">
        <f t="shared" si="2"/>
        <v>263</v>
      </c>
      <c r="T39">
        <f t="shared" si="3"/>
        <v>-80</v>
      </c>
    </row>
    <row r="40" spans="1:20" ht="15">
      <c r="A40" s="320">
        <v>32</v>
      </c>
      <c r="B40" s="385" t="s">
        <v>920</v>
      </c>
      <c r="C40" s="493">
        <v>1575</v>
      </c>
      <c r="D40" s="575">
        <v>84</v>
      </c>
      <c r="E40" s="575">
        <v>349</v>
      </c>
      <c r="F40" s="575">
        <v>732</v>
      </c>
      <c r="G40" s="575">
        <v>0</v>
      </c>
      <c r="H40" s="575">
        <v>410</v>
      </c>
      <c r="I40" s="576">
        <v>1575</v>
      </c>
      <c r="J40" s="576">
        <v>1575</v>
      </c>
      <c r="K40" s="235" t="s">
        <v>989</v>
      </c>
      <c r="L40" s="235" t="s">
        <v>989</v>
      </c>
      <c r="M40" s="235" t="s">
        <v>989</v>
      </c>
      <c r="N40" s="235" t="s">
        <v>989</v>
      </c>
      <c r="O40" s="694">
        <f t="shared" si="0"/>
        <v>1575</v>
      </c>
      <c r="Q40" s="455">
        <f t="shared" si="1"/>
        <v>63.363620778330187</v>
      </c>
      <c r="R40" s="689">
        <v>258</v>
      </c>
      <c r="S40" s="689">
        <f t="shared" si="2"/>
        <v>668</v>
      </c>
      <c r="T40">
        <f t="shared" si="3"/>
        <v>-174</v>
      </c>
    </row>
    <row r="41" spans="1:20" ht="15">
      <c r="A41" s="320">
        <v>33</v>
      </c>
      <c r="B41" s="385" t="s">
        <v>921</v>
      </c>
      <c r="C41" s="493">
        <v>3973</v>
      </c>
      <c r="D41" s="575">
        <v>272</v>
      </c>
      <c r="E41" s="575">
        <v>840</v>
      </c>
      <c r="F41" s="575">
        <v>889</v>
      </c>
      <c r="G41" s="575">
        <v>0</v>
      </c>
      <c r="H41" s="575">
        <v>1972</v>
      </c>
      <c r="I41" s="576">
        <v>3973</v>
      </c>
      <c r="J41" s="576">
        <v>3973</v>
      </c>
      <c r="K41" s="235" t="s">
        <v>989</v>
      </c>
      <c r="L41" s="235" t="s">
        <v>989</v>
      </c>
      <c r="M41" s="235" t="s">
        <v>989</v>
      </c>
      <c r="N41" s="235" t="s">
        <v>989</v>
      </c>
      <c r="O41" s="694">
        <f t="shared" si="0"/>
        <v>3973</v>
      </c>
      <c r="Q41" s="455">
        <f t="shared" si="1"/>
        <v>205.17743871078346</v>
      </c>
      <c r="R41" s="689">
        <v>837</v>
      </c>
      <c r="S41" s="689">
        <f t="shared" si="2"/>
        <v>2809</v>
      </c>
      <c r="T41">
        <f t="shared" si="3"/>
        <v>-565</v>
      </c>
    </row>
    <row r="42" spans="1:20" ht="15">
      <c r="A42" s="30" t="s">
        <v>19</v>
      </c>
      <c r="B42" s="30" t="s">
        <v>19</v>
      </c>
      <c r="C42" s="8">
        <f>SUM(C9:C41)</f>
        <v>66493</v>
      </c>
      <c r="D42" s="8">
        <v>7163</v>
      </c>
      <c r="E42" s="8">
        <f t="shared" ref="E42:J42" si="4">SUM(E9:E41)</f>
        <v>16897</v>
      </c>
      <c r="F42" s="8">
        <f t="shared" si="4"/>
        <v>11631</v>
      </c>
      <c r="G42" s="8">
        <f t="shared" si="4"/>
        <v>627</v>
      </c>
      <c r="H42" s="8">
        <v>30175</v>
      </c>
      <c r="I42" s="8">
        <f t="shared" si="4"/>
        <v>66493</v>
      </c>
      <c r="J42" s="8">
        <f t="shared" si="4"/>
        <v>66493</v>
      </c>
      <c r="K42" s="235"/>
      <c r="L42" s="235"/>
      <c r="M42" s="235"/>
      <c r="N42" s="235"/>
      <c r="O42" s="694">
        <f>SUM(O9:O41)</f>
        <v>66493</v>
      </c>
      <c r="Q42" s="455">
        <f t="shared" si="1"/>
        <v>5403.2573289902275</v>
      </c>
      <c r="R42" s="689">
        <f>SUM(R9:R41)</f>
        <v>22002</v>
      </c>
      <c r="S42" s="689">
        <f t="shared" si="2"/>
        <v>52177</v>
      </c>
      <c r="T42">
        <f t="shared" si="3"/>
        <v>-14839</v>
      </c>
    </row>
    <row r="43" spans="1:20" ht="15">
      <c r="R43" s="690"/>
      <c r="S43" s="690"/>
    </row>
    <row r="44" spans="1:20" ht="15">
      <c r="R44" s="690"/>
      <c r="S44" s="690"/>
    </row>
    <row r="45" spans="1:20" ht="12.75" customHeight="1">
      <c r="A45" s="224"/>
      <c r="B45" s="224"/>
      <c r="C45" s="224"/>
      <c r="D45" s="224"/>
      <c r="H45" s="917" t="s">
        <v>13</v>
      </c>
      <c r="I45" s="917"/>
      <c r="J45" s="917"/>
      <c r="K45" s="917"/>
      <c r="L45" s="917"/>
      <c r="R45" s="690"/>
      <c r="S45" s="690"/>
    </row>
    <row r="46" spans="1:20" ht="12.75" customHeight="1">
      <c r="A46" s="224"/>
      <c r="B46" s="224"/>
      <c r="C46" s="224"/>
      <c r="D46" s="224"/>
      <c r="H46" s="917" t="s">
        <v>14</v>
      </c>
      <c r="I46" s="917"/>
      <c r="J46" s="917"/>
      <c r="K46" s="917"/>
      <c r="L46" s="917"/>
      <c r="R46" s="690"/>
      <c r="S46" s="690"/>
    </row>
    <row r="47" spans="1:20" ht="12.75" customHeight="1">
      <c r="A47" s="224"/>
      <c r="B47" s="224"/>
      <c r="C47" s="224"/>
      <c r="D47" s="224"/>
      <c r="K47" s="225" t="s">
        <v>90</v>
      </c>
      <c r="R47" s="690"/>
      <c r="S47" s="690"/>
    </row>
    <row r="48" spans="1:20" ht="15">
      <c r="A48" s="224" t="s">
        <v>12</v>
      </c>
      <c r="C48" s="224"/>
      <c r="D48" s="224"/>
      <c r="K48" s="226" t="s">
        <v>87</v>
      </c>
      <c r="R48" s="690"/>
      <c r="S48" s="690"/>
    </row>
    <row r="49" spans="18:19" ht="15">
      <c r="R49" s="690"/>
      <c r="S49" s="690"/>
    </row>
    <row r="50" spans="18:19" ht="15">
      <c r="R50" s="690"/>
      <c r="S50" s="690"/>
    </row>
  </sheetData>
  <mergeCells count="13">
    <mergeCell ref="H45:L45"/>
    <mergeCell ref="H46:L46"/>
    <mergeCell ref="D6:H6"/>
    <mergeCell ref="C6:C7"/>
    <mergeCell ref="A1:K1"/>
    <mergeCell ref="A2:K2"/>
    <mergeCell ref="A4:H4"/>
    <mergeCell ref="A6:A7"/>
    <mergeCell ref="B6:B7"/>
    <mergeCell ref="K6:N6"/>
    <mergeCell ref="L5:N5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49"/>
  <sheetViews>
    <sheetView view="pageBreakPreview" topLeftCell="A31" zoomScale="120" zoomScaleSheetLayoutView="120" workbookViewId="0">
      <selection activeCell="G37" sqref="G37"/>
    </sheetView>
  </sheetViews>
  <sheetFormatPr defaultRowHeight="12.75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>
      <c r="A1" s="919" t="s">
        <v>0</v>
      </c>
      <c r="B1" s="919"/>
      <c r="C1" s="919"/>
      <c r="D1" s="919"/>
      <c r="E1" s="919"/>
      <c r="F1" s="919"/>
      <c r="G1" s="919"/>
      <c r="H1" s="261" t="s">
        <v>523</v>
      </c>
    </row>
    <row r="2" spans="1:8" ht="21">
      <c r="A2" s="920" t="s">
        <v>705</v>
      </c>
      <c r="B2" s="920"/>
      <c r="C2" s="920"/>
      <c r="D2" s="920"/>
      <c r="E2" s="920"/>
      <c r="F2" s="920"/>
      <c r="G2" s="920"/>
    </row>
    <row r="3" spans="1:8" ht="15">
      <c r="A3" s="217"/>
      <c r="B3" s="217"/>
      <c r="C3" s="217"/>
      <c r="D3" s="217"/>
      <c r="E3" s="217"/>
      <c r="F3" s="217"/>
      <c r="G3" s="217"/>
    </row>
    <row r="4" spans="1:8" ht="18">
      <c r="A4" s="919" t="s">
        <v>522</v>
      </c>
      <c r="B4" s="919"/>
      <c r="C4" s="919"/>
      <c r="D4" s="919"/>
      <c r="E4" s="919"/>
      <c r="F4" s="919"/>
      <c r="G4" s="919"/>
    </row>
    <row r="5" spans="1:8" ht="15">
      <c r="A5" s="218" t="s">
        <v>922</v>
      </c>
      <c r="B5" s="218"/>
      <c r="C5" s="218"/>
      <c r="D5" s="218"/>
      <c r="E5" s="218"/>
      <c r="F5" s="218"/>
      <c r="G5" s="1039" t="s">
        <v>784</v>
      </c>
      <c r="H5" s="1039"/>
    </row>
    <row r="6" spans="1:8" ht="21.75" customHeight="1">
      <c r="A6" s="1010" t="s">
        <v>2</v>
      </c>
      <c r="B6" s="1010" t="s">
        <v>502</v>
      </c>
      <c r="C6" s="844" t="s">
        <v>40</v>
      </c>
      <c r="D6" s="844" t="s">
        <v>507</v>
      </c>
      <c r="E6" s="844"/>
      <c r="F6" s="855" t="s">
        <v>508</v>
      </c>
      <c r="G6" s="855"/>
      <c r="H6" s="1010" t="s">
        <v>230</v>
      </c>
    </row>
    <row r="7" spans="1:8" ht="25.5" customHeight="1">
      <c r="A7" s="1011"/>
      <c r="B7" s="1011"/>
      <c r="C7" s="844"/>
      <c r="D7" s="5" t="s">
        <v>503</v>
      </c>
      <c r="E7" s="5" t="s">
        <v>504</v>
      </c>
      <c r="F7" s="69" t="s">
        <v>505</v>
      </c>
      <c r="G7" s="5" t="s">
        <v>506</v>
      </c>
      <c r="H7" s="1011"/>
    </row>
    <row r="8" spans="1:8" ht="15">
      <c r="A8" s="221" t="s">
        <v>264</v>
      </c>
      <c r="B8" s="221" t="s">
        <v>265</v>
      </c>
      <c r="C8" s="221" t="s">
        <v>266</v>
      </c>
      <c r="D8" s="221" t="s">
        <v>267</v>
      </c>
      <c r="E8" s="221" t="s">
        <v>268</v>
      </c>
      <c r="F8" s="221" t="s">
        <v>269</v>
      </c>
      <c r="G8" s="221" t="s">
        <v>270</v>
      </c>
      <c r="H8" s="221">
        <v>8</v>
      </c>
    </row>
    <row r="9" spans="1:8" ht="75">
      <c r="A9" s="320">
        <v>1</v>
      </c>
      <c r="B9" s="570" t="s">
        <v>984</v>
      </c>
      <c r="C9" s="571" t="s">
        <v>889</v>
      </c>
      <c r="D9" s="572">
        <f>6+6+6</f>
        <v>18</v>
      </c>
      <c r="E9" s="572">
        <v>18</v>
      </c>
      <c r="F9" s="572">
        <v>18</v>
      </c>
      <c r="G9" s="572">
        <v>0</v>
      </c>
      <c r="H9" s="221"/>
    </row>
    <row r="10" spans="1:8" ht="15">
      <c r="A10" s="320">
        <v>2</v>
      </c>
      <c r="B10" s="573"/>
      <c r="C10" s="574" t="s">
        <v>890</v>
      </c>
      <c r="D10" s="572">
        <v>0</v>
      </c>
      <c r="E10" s="572">
        <v>0</v>
      </c>
      <c r="F10" s="572">
        <v>0</v>
      </c>
      <c r="G10" s="572">
        <v>0</v>
      </c>
      <c r="H10" s="221"/>
    </row>
    <row r="11" spans="1:8" ht="15">
      <c r="A11" s="320">
        <v>3</v>
      </c>
      <c r="B11" s="573"/>
      <c r="C11" s="574" t="s">
        <v>891</v>
      </c>
      <c r="D11" s="572">
        <v>0</v>
      </c>
      <c r="E11" s="572">
        <v>0</v>
      </c>
      <c r="F11" s="572">
        <v>0</v>
      </c>
      <c r="G11" s="572">
        <v>0</v>
      </c>
      <c r="H11" s="221"/>
    </row>
    <row r="12" spans="1:8" ht="15">
      <c r="A12" s="320">
        <v>4</v>
      </c>
      <c r="B12" s="573"/>
      <c r="C12" s="574" t="s">
        <v>892</v>
      </c>
      <c r="D12" s="572">
        <v>0</v>
      </c>
      <c r="E12" s="572">
        <v>0</v>
      </c>
      <c r="F12" s="572">
        <v>0</v>
      </c>
      <c r="G12" s="572">
        <v>0</v>
      </c>
      <c r="H12" s="221"/>
    </row>
    <row r="13" spans="1:8" ht="15">
      <c r="A13" s="320">
        <v>5</v>
      </c>
      <c r="B13" s="573"/>
      <c r="C13" s="574" t="s">
        <v>893</v>
      </c>
      <c r="D13" s="572">
        <v>0</v>
      </c>
      <c r="E13" s="572">
        <v>0</v>
      </c>
      <c r="F13" s="572">
        <v>0</v>
      </c>
      <c r="G13" s="572">
        <v>0</v>
      </c>
      <c r="H13" s="221"/>
    </row>
    <row r="14" spans="1:8" ht="15">
      <c r="A14" s="320">
        <v>6</v>
      </c>
      <c r="B14" s="573"/>
      <c r="C14" s="574" t="s">
        <v>894</v>
      </c>
      <c r="D14" s="572">
        <v>0</v>
      </c>
      <c r="E14" s="572">
        <v>0</v>
      </c>
      <c r="F14" s="572">
        <v>0</v>
      </c>
      <c r="G14" s="572">
        <v>0</v>
      </c>
      <c r="H14" s="221"/>
    </row>
    <row r="15" spans="1:8" ht="75">
      <c r="A15" s="320">
        <v>7</v>
      </c>
      <c r="B15" s="570" t="s">
        <v>984</v>
      </c>
      <c r="C15" s="574" t="s">
        <v>895</v>
      </c>
      <c r="D15" s="572">
        <v>10</v>
      </c>
      <c r="E15" s="572">
        <v>10</v>
      </c>
      <c r="F15" s="572">
        <v>10</v>
      </c>
      <c r="G15" s="572">
        <v>0</v>
      </c>
      <c r="H15" s="221"/>
    </row>
    <row r="16" spans="1:8" ht="15">
      <c r="A16" s="320">
        <v>8</v>
      </c>
      <c r="B16" s="573"/>
      <c r="C16" s="574" t="s">
        <v>896</v>
      </c>
      <c r="D16" s="572">
        <v>0</v>
      </c>
      <c r="E16" s="572">
        <v>0</v>
      </c>
      <c r="F16" s="572">
        <v>0</v>
      </c>
      <c r="G16" s="572">
        <v>0</v>
      </c>
      <c r="H16" s="221"/>
    </row>
    <row r="17" spans="1:9" ht="15">
      <c r="A17" s="320">
        <v>9</v>
      </c>
      <c r="B17" s="573"/>
      <c r="C17" s="574" t="s">
        <v>897</v>
      </c>
      <c r="D17" s="572">
        <v>0</v>
      </c>
      <c r="E17" s="572">
        <v>0</v>
      </c>
      <c r="F17" s="572">
        <v>0</v>
      </c>
      <c r="G17" s="572">
        <v>0</v>
      </c>
      <c r="H17" s="9"/>
    </row>
    <row r="18" spans="1:9" ht="15">
      <c r="A18" s="320">
        <v>10</v>
      </c>
      <c r="B18" s="573"/>
      <c r="C18" s="574" t="s">
        <v>898</v>
      </c>
      <c r="D18" s="572">
        <v>0</v>
      </c>
      <c r="E18" s="572">
        <v>0</v>
      </c>
      <c r="F18" s="572">
        <v>0</v>
      </c>
      <c r="G18" s="572">
        <v>0</v>
      </c>
      <c r="H18" s="9"/>
    </row>
    <row r="19" spans="1:9" ht="15">
      <c r="A19" s="320">
        <v>11</v>
      </c>
      <c r="B19" s="573"/>
      <c r="C19" s="574" t="s">
        <v>899</v>
      </c>
      <c r="D19" s="572">
        <v>0</v>
      </c>
      <c r="E19" s="572">
        <v>0</v>
      </c>
      <c r="F19" s="572">
        <v>0</v>
      </c>
      <c r="G19" s="572">
        <v>0</v>
      </c>
      <c r="H19" s="9"/>
    </row>
    <row r="20" spans="1:9" ht="15">
      <c r="A20" s="320">
        <v>12</v>
      </c>
      <c r="B20" s="573"/>
      <c r="C20" s="574" t="s">
        <v>900</v>
      </c>
      <c r="D20" s="572">
        <v>0</v>
      </c>
      <c r="E20" s="572">
        <v>0</v>
      </c>
      <c r="F20" s="572">
        <v>0</v>
      </c>
      <c r="G20" s="572">
        <v>0</v>
      </c>
      <c r="H20" s="9"/>
    </row>
    <row r="21" spans="1:9" ht="15">
      <c r="A21" s="320">
        <v>13</v>
      </c>
      <c r="B21" s="573"/>
      <c r="C21" s="574" t="s">
        <v>901</v>
      </c>
      <c r="D21" s="572">
        <v>0</v>
      </c>
      <c r="E21" s="572">
        <v>0</v>
      </c>
      <c r="F21" s="572">
        <v>0</v>
      </c>
      <c r="G21" s="572">
        <v>0</v>
      </c>
      <c r="H21" s="9"/>
      <c r="I21" s="15" t="s">
        <v>404</v>
      </c>
    </row>
    <row r="22" spans="1:9" ht="15">
      <c r="A22" s="320">
        <v>14</v>
      </c>
      <c r="B22" s="573"/>
      <c r="C22" s="574" t="s">
        <v>902</v>
      </c>
      <c r="D22" s="572">
        <v>0</v>
      </c>
      <c r="E22" s="572">
        <v>0</v>
      </c>
      <c r="F22" s="572">
        <v>0</v>
      </c>
      <c r="G22" s="572">
        <v>0</v>
      </c>
      <c r="H22" s="9"/>
    </row>
    <row r="23" spans="1:9" ht="15">
      <c r="A23" s="320">
        <v>15</v>
      </c>
      <c r="B23" s="573"/>
      <c r="C23" s="574" t="s">
        <v>903</v>
      </c>
      <c r="D23" s="572">
        <v>0</v>
      </c>
      <c r="E23" s="572">
        <v>0</v>
      </c>
      <c r="F23" s="572">
        <v>0</v>
      </c>
      <c r="G23" s="572">
        <v>0</v>
      </c>
      <c r="H23" s="9"/>
    </row>
    <row r="24" spans="1:9" ht="15">
      <c r="A24" s="320">
        <v>16</v>
      </c>
      <c r="B24" s="573"/>
      <c r="C24" s="574" t="s">
        <v>904</v>
      </c>
      <c r="D24" s="572">
        <v>0</v>
      </c>
      <c r="E24" s="572">
        <v>0</v>
      </c>
      <c r="F24" s="572">
        <v>0</v>
      </c>
      <c r="G24" s="572">
        <v>0</v>
      </c>
      <c r="H24" s="9"/>
    </row>
    <row r="25" spans="1:9" ht="75">
      <c r="A25" s="320">
        <v>17</v>
      </c>
      <c r="B25" s="570" t="s">
        <v>984</v>
      </c>
      <c r="C25" s="1040" t="s">
        <v>905</v>
      </c>
      <c r="D25" s="572">
        <v>30</v>
      </c>
      <c r="E25" s="572">
        <v>30</v>
      </c>
      <c r="F25" s="572">
        <v>30</v>
      </c>
      <c r="G25" s="572">
        <v>0</v>
      </c>
      <c r="H25" s="9"/>
    </row>
    <row r="26" spans="1:9" ht="90">
      <c r="A26" s="320">
        <v>18</v>
      </c>
      <c r="B26" s="570" t="s">
        <v>985</v>
      </c>
      <c r="C26" s="1041"/>
      <c r="D26" s="572">
        <v>16</v>
      </c>
      <c r="E26" s="572">
        <v>16</v>
      </c>
      <c r="F26" s="572">
        <v>16</v>
      </c>
      <c r="G26" s="572">
        <v>0</v>
      </c>
      <c r="H26" s="9"/>
    </row>
    <row r="27" spans="1:9" ht="15">
      <c r="A27" s="320">
        <v>19</v>
      </c>
      <c r="B27" s="573"/>
      <c r="C27" s="574" t="s">
        <v>906</v>
      </c>
      <c r="D27" s="572">
        <v>0</v>
      </c>
      <c r="E27" s="572">
        <v>0</v>
      </c>
      <c r="F27" s="572">
        <v>0</v>
      </c>
      <c r="G27" s="572">
        <v>0</v>
      </c>
      <c r="H27" s="9"/>
    </row>
    <row r="28" spans="1:9" ht="15">
      <c r="A28" s="320">
        <v>20</v>
      </c>
      <c r="B28" s="573"/>
      <c r="C28" s="574" t="s">
        <v>907</v>
      </c>
      <c r="D28" s="572">
        <v>0</v>
      </c>
      <c r="E28" s="572">
        <v>0</v>
      </c>
      <c r="F28" s="572">
        <v>0</v>
      </c>
      <c r="G28" s="572">
        <v>0</v>
      </c>
      <c r="H28" s="9"/>
    </row>
    <row r="29" spans="1:9" ht="75">
      <c r="A29" s="320">
        <v>21</v>
      </c>
      <c r="B29" s="570" t="s">
        <v>984</v>
      </c>
      <c r="C29" s="574" t="s">
        <v>908</v>
      </c>
      <c r="D29" s="572">
        <v>15</v>
      </c>
      <c r="E29" s="572">
        <v>15</v>
      </c>
      <c r="F29" s="572">
        <v>15</v>
      </c>
      <c r="G29" s="572">
        <v>0</v>
      </c>
      <c r="H29" s="9"/>
    </row>
    <row r="30" spans="1:9" ht="15">
      <c r="A30" s="320">
        <v>22</v>
      </c>
      <c r="B30" s="573"/>
      <c r="C30" s="574" t="s">
        <v>909</v>
      </c>
      <c r="D30" s="572">
        <v>0</v>
      </c>
      <c r="E30" s="572">
        <v>0</v>
      </c>
      <c r="F30" s="572">
        <v>0</v>
      </c>
      <c r="G30" s="572">
        <v>0</v>
      </c>
      <c r="H30" s="9"/>
    </row>
    <row r="31" spans="1:9" ht="75">
      <c r="A31" s="320">
        <v>23</v>
      </c>
      <c r="B31" s="570" t="s">
        <v>984</v>
      </c>
      <c r="C31" s="574" t="s">
        <v>910</v>
      </c>
      <c r="D31" s="572">
        <v>10</v>
      </c>
      <c r="E31" s="572">
        <v>10</v>
      </c>
      <c r="F31" s="572">
        <v>10</v>
      </c>
      <c r="G31" s="572">
        <v>0</v>
      </c>
      <c r="H31" s="9"/>
    </row>
    <row r="32" spans="1:9" ht="15">
      <c r="A32" s="320">
        <v>24</v>
      </c>
      <c r="B32" s="573"/>
      <c r="C32" s="574" t="s">
        <v>911</v>
      </c>
      <c r="D32" s="572">
        <v>0</v>
      </c>
      <c r="E32" s="572">
        <v>0</v>
      </c>
      <c r="F32" s="572">
        <v>0</v>
      </c>
      <c r="G32" s="572">
        <v>0</v>
      </c>
      <c r="H32" s="9"/>
    </row>
    <row r="33" spans="1:8" ht="15">
      <c r="A33" s="320">
        <v>25</v>
      </c>
      <c r="B33" s="573"/>
      <c r="C33" s="574" t="s">
        <v>912</v>
      </c>
      <c r="D33" s="572">
        <v>0</v>
      </c>
      <c r="E33" s="572">
        <v>0</v>
      </c>
      <c r="F33" s="572">
        <v>0</v>
      </c>
      <c r="G33" s="572">
        <v>0</v>
      </c>
      <c r="H33" s="9"/>
    </row>
    <row r="34" spans="1:8" ht="15">
      <c r="A34" s="320">
        <v>26</v>
      </c>
      <c r="B34" s="573"/>
      <c r="C34" s="574" t="s">
        <v>913</v>
      </c>
      <c r="D34" s="572">
        <v>0</v>
      </c>
      <c r="E34" s="572">
        <v>0</v>
      </c>
      <c r="F34" s="572">
        <v>0</v>
      </c>
      <c r="G34" s="572">
        <v>0</v>
      </c>
      <c r="H34" s="9"/>
    </row>
    <row r="35" spans="1:8" ht="15">
      <c r="A35" s="320">
        <v>27</v>
      </c>
      <c r="B35" s="573"/>
      <c r="C35" s="574" t="s">
        <v>914</v>
      </c>
      <c r="D35" s="572">
        <v>0</v>
      </c>
      <c r="E35" s="572">
        <v>0</v>
      </c>
      <c r="F35" s="572">
        <v>0</v>
      </c>
      <c r="G35" s="572">
        <v>0</v>
      </c>
      <c r="H35" s="9"/>
    </row>
    <row r="36" spans="1:8" ht="15">
      <c r="A36" s="320">
        <v>28</v>
      </c>
      <c r="B36" s="573"/>
      <c r="C36" s="574" t="s">
        <v>915</v>
      </c>
      <c r="D36" s="572">
        <v>0</v>
      </c>
      <c r="E36" s="572">
        <v>0</v>
      </c>
      <c r="F36" s="572">
        <v>0</v>
      </c>
      <c r="G36" s="572">
        <v>0</v>
      </c>
      <c r="H36" s="9"/>
    </row>
    <row r="37" spans="1:8" ht="75">
      <c r="A37" s="320">
        <v>29</v>
      </c>
      <c r="B37" s="570" t="s">
        <v>984</v>
      </c>
      <c r="C37" s="574" t="s">
        <v>916</v>
      </c>
      <c r="D37" s="572">
        <v>22</v>
      </c>
      <c r="E37" s="572">
        <v>22</v>
      </c>
      <c r="F37" s="572">
        <v>22</v>
      </c>
      <c r="G37" s="572">
        <v>0</v>
      </c>
      <c r="H37" s="9"/>
    </row>
    <row r="38" spans="1:8" ht="15">
      <c r="A38" s="320">
        <v>30</v>
      </c>
      <c r="B38" s="573"/>
      <c r="C38" s="574" t="s">
        <v>917</v>
      </c>
      <c r="D38" s="572">
        <v>0</v>
      </c>
      <c r="E38" s="572">
        <v>0</v>
      </c>
      <c r="F38" s="572">
        <v>0</v>
      </c>
      <c r="G38" s="572">
        <v>0</v>
      </c>
      <c r="H38" s="9"/>
    </row>
    <row r="39" spans="1:8" ht="15">
      <c r="A39" s="320">
        <v>31</v>
      </c>
      <c r="B39" s="573"/>
      <c r="C39" s="574" t="s">
        <v>918</v>
      </c>
      <c r="D39" s="572">
        <v>0</v>
      </c>
      <c r="E39" s="572">
        <v>0</v>
      </c>
      <c r="F39" s="572">
        <v>0</v>
      </c>
      <c r="G39" s="572">
        <v>0</v>
      </c>
      <c r="H39" s="9"/>
    </row>
    <row r="40" spans="1:8" ht="15">
      <c r="A40" s="320">
        <v>32</v>
      </c>
      <c r="B40" s="573"/>
      <c r="C40" s="574" t="s">
        <v>919</v>
      </c>
      <c r="D40" s="572">
        <v>0</v>
      </c>
      <c r="E40" s="572">
        <v>0</v>
      </c>
      <c r="F40" s="572">
        <v>0</v>
      </c>
      <c r="G40" s="572">
        <v>0</v>
      </c>
      <c r="H40" s="9"/>
    </row>
    <row r="41" spans="1:8" ht="15">
      <c r="A41" s="320">
        <v>33</v>
      </c>
      <c r="B41" s="573"/>
      <c r="C41" s="574" t="s">
        <v>920</v>
      </c>
      <c r="D41" s="572">
        <v>0</v>
      </c>
      <c r="E41" s="572">
        <v>0</v>
      </c>
      <c r="F41" s="572">
        <v>0</v>
      </c>
      <c r="G41" s="572">
        <v>0</v>
      </c>
      <c r="H41" s="9"/>
    </row>
    <row r="42" spans="1:8" ht="15">
      <c r="A42" s="18" t="s">
        <v>7</v>
      </c>
      <c r="B42" s="573"/>
      <c r="C42" s="574" t="s">
        <v>921</v>
      </c>
      <c r="D42" s="572">
        <v>0</v>
      </c>
      <c r="E42" s="572">
        <v>0</v>
      </c>
      <c r="F42" s="572">
        <v>0</v>
      </c>
      <c r="G42" s="572">
        <v>0</v>
      </c>
      <c r="H42" s="9"/>
    </row>
    <row r="43" spans="1:8" ht="15">
      <c r="A43" s="30" t="s">
        <v>19</v>
      </c>
      <c r="B43" s="573" t="s">
        <v>19</v>
      </c>
      <c r="C43" s="574"/>
      <c r="D43" s="572">
        <f>SUM(D9:D42)</f>
        <v>121</v>
      </c>
      <c r="E43" s="572">
        <f t="shared" ref="E43:G43" si="0">SUM(E9:E42)</f>
        <v>121</v>
      </c>
      <c r="F43" s="572">
        <f t="shared" si="0"/>
        <v>121</v>
      </c>
      <c r="G43" s="572">
        <f t="shared" si="0"/>
        <v>0</v>
      </c>
      <c r="H43" s="9"/>
    </row>
    <row r="46" spans="1:8" ht="12.75" customHeight="1">
      <c r="A46" s="224"/>
      <c r="B46" s="224"/>
      <c r="C46" s="224"/>
      <c r="D46" s="224"/>
      <c r="F46" s="917" t="s">
        <v>13</v>
      </c>
      <c r="G46" s="917"/>
      <c r="H46" s="917"/>
    </row>
    <row r="47" spans="1:8" ht="12.75" customHeight="1">
      <c r="A47" s="224"/>
      <c r="B47" s="224"/>
      <c r="C47" s="224"/>
      <c r="D47" s="224"/>
      <c r="F47" s="917" t="s">
        <v>14</v>
      </c>
      <c r="G47" s="917"/>
      <c r="H47" s="917"/>
    </row>
    <row r="48" spans="1:8" ht="12.75" customHeight="1">
      <c r="A48" s="224"/>
      <c r="B48" s="224"/>
      <c r="C48" s="224"/>
      <c r="D48" s="224"/>
      <c r="F48" s="917" t="s">
        <v>90</v>
      </c>
      <c r="G48" s="917"/>
      <c r="H48" s="917"/>
    </row>
    <row r="49" spans="1:7">
      <c r="A49" s="224" t="s">
        <v>12</v>
      </c>
      <c r="C49" s="224"/>
      <c r="D49" s="224"/>
      <c r="G49" s="226" t="s">
        <v>87</v>
      </c>
    </row>
  </sheetData>
  <mergeCells count="14">
    <mergeCell ref="F48:H48"/>
    <mergeCell ref="A1:G1"/>
    <mergeCell ref="A2:G2"/>
    <mergeCell ref="A4:G4"/>
    <mergeCell ref="A6:A7"/>
    <mergeCell ref="B6:B7"/>
    <mergeCell ref="G5:H5"/>
    <mergeCell ref="C6:C7"/>
    <mergeCell ref="F6:G6"/>
    <mergeCell ref="D6:E6"/>
    <mergeCell ref="H6:H7"/>
    <mergeCell ref="F46:H46"/>
    <mergeCell ref="F47:H47"/>
    <mergeCell ref="C25:C26"/>
  </mergeCells>
  <printOptions horizontalCentered="1"/>
  <pageMargins left="0.70866141732283472" right="0.70866141732283472" top="0.23622047244094491" bottom="0" header="0.31496062992125984" footer="0.31496062992125984"/>
  <pageSetup paperSize="9" scale="4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49"/>
  <sheetViews>
    <sheetView view="pageBreakPreview" topLeftCell="A16" zoomScale="84" zoomScaleSheetLayoutView="84" workbookViewId="0">
      <selection activeCell="G37" sqref="G37"/>
    </sheetView>
  </sheetViews>
  <sheetFormatPr defaultRowHeight="12.75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2" ht="18">
      <c r="A1" s="919" t="s">
        <v>0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261" t="s">
        <v>525</v>
      </c>
    </row>
    <row r="2" spans="1:12" ht="21">
      <c r="A2" s="920" t="s">
        <v>705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</row>
    <row r="3" spans="1:12" ht="1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2" ht="18">
      <c r="A4" s="919" t="s">
        <v>524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</row>
    <row r="5" spans="1:12" ht="15">
      <c r="A5" s="218" t="s">
        <v>922</v>
      </c>
      <c r="B5" s="218"/>
      <c r="C5" s="218"/>
      <c r="D5" s="218"/>
      <c r="E5" s="218"/>
      <c r="F5" s="218"/>
      <c r="G5" s="218"/>
      <c r="H5" s="218"/>
      <c r="I5" s="218"/>
      <c r="J5" s="1009" t="s">
        <v>784</v>
      </c>
      <c r="K5" s="1009"/>
      <c r="L5" s="1009"/>
    </row>
    <row r="6" spans="1:12" ht="21.75" customHeight="1">
      <c r="A6" s="1010" t="s">
        <v>2</v>
      </c>
      <c r="B6" s="1010" t="s">
        <v>40</v>
      </c>
      <c r="C6" s="829" t="s">
        <v>467</v>
      </c>
      <c r="D6" s="855"/>
      <c r="E6" s="830"/>
      <c r="F6" s="829" t="s">
        <v>473</v>
      </c>
      <c r="G6" s="855"/>
      <c r="H6" s="855"/>
      <c r="I6" s="830"/>
      <c r="J6" s="844" t="s">
        <v>475</v>
      </c>
      <c r="K6" s="844"/>
      <c r="L6" s="844"/>
    </row>
    <row r="7" spans="1:12" ht="29.25" customHeight="1">
      <c r="A7" s="1011"/>
      <c r="B7" s="1011"/>
      <c r="C7" s="252" t="s">
        <v>220</v>
      </c>
      <c r="D7" s="252" t="s">
        <v>469</v>
      </c>
      <c r="E7" s="252" t="s">
        <v>474</v>
      </c>
      <c r="F7" s="252" t="s">
        <v>220</v>
      </c>
      <c r="G7" s="252" t="s">
        <v>468</v>
      </c>
      <c r="H7" s="252" t="s">
        <v>470</v>
      </c>
      <c r="I7" s="252" t="s">
        <v>474</v>
      </c>
      <c r="J7" s="5" t="s">
        <v>471</v>
      </c>
      <c r="K7" s="5" t="s">
        <v>472</v>
      </c>
      <c r="L7" s="252" t="s">
        <v>474</v>
      </c>
    </row>
    <row r="8" spans="1:12" ht="15">
      <c r="A8" s="221" t="s">
        <v>264</v>
      </c>
      <c r="B8" s="221" t="s">
        <v>265</v>
      </c>
      <c r="C8" s="221" t="s">
        <v>266</v>
      </c>
      <c r="D8" s="221" t="s">
        <v>267</v>
      </c>
      <c r="E8" s="221" t="s">
        <v>268</v>
      </c>
      <c r="F8" s="221" t="s">
        <v>269</v>
      </c>
      <c r="G8" s="221" t="s">
        <v>270</v>
      </c>
      <c r="H8" s="221" t="s">
        <v>271</v>
      </c>
      <c r="I8" s="221" t="s">
        <v>290</v>
      </c>
      <c r="J8" s="221" t="s">
        <v>291</v>
      </c>
      <c r="K8" s="221" t="s">
        <v>292</v>
      </c>
      <c r="L8" s="221" t="s">
        <v>320</v>
      </c>
    </row>
    <row r="9" spans="1:12" ht="15">
      <c r="A9" s="18">
        <v>1</v>
      </c>
      <c r="B9" s="385" t="s">
        <v>889</v>
      </c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15">
      <c r="A10" s="18">
        <v>2</v>
      </c>
      <c r="B10" s="385" t="s">
        <v>890</v>
      </c>
      <c r="C10" s="221"/>
      <c r="D10" s="221"/>
      <c r="E10" s="221"/>
      <c r="F10" s="221"/>
      <c r="G10" s="221"/>
      <c r="H10" s="221"/>
      <c r="I10" s="221"/>
      <c r="J10" s="221"/>
      <c r="K10" s="221"/>
      <c r="L10" s="221"/>
    </row>
    <row r="11" spans="1:12" ht="15">
      <c r="A11" s="18">
        <v>2</v>
      </c>
      <c r="B11" s="385" t="s">
        <v>891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</row>
    <row r="12" spans="1:12" ht="15">
      <c r="A12" s="18">
        <v>3</v>
      </c>
      <c r="B12" s="385" t="s">
        <v>892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ht="15">
      <c r="A13" s="18">
        <v>4</v>
      </c>
      <c r="B13" s="385" t="s">
        <v>893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</row>
    <row r="14" spans="1:12" ht="15">
      <c r="A14" s="18">
        <v>5</v>
      </c>
      <c r="B14" s="385" t="s">
        <v>894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</row>
    <row r="15" spans="1:12" ht="15">
      <c r="A15" s="18">
        <v>6</v>
      </c>
      <c r="B15" s="385" t="s">
        <v>895</v>
      </c>
      <c r="C15" s="221"/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15">
      <c r="A16" s="18">
        <v>7</v>
      </c>
      <c r="B16" s="385" t="s">
        <v>896</v>
      </c>
      <c r="C16" s="221"/>
      <c r="D16" s="221"/>
      <c r="E16" s="221"/>
      <c r="F16" s="221"/>
      <c r="G16" s="221"/>
      <c r="H16" s="221"/>
      <c r="I16" s="221"/>
      <c r="J16" s="221"/>
      <c r="K16" s="221"/>
      <c r="L16" s="221"/>
    </row>
    <row r="17" spans="1:14" ht="15">
      <c r="A17" s="18">
        <v>8</v>
      </c>
      <c r="B17" s="385" t="s">
        <v>897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</row>
    <row r="18" spans="1:14" ht="14.25">
      <c r="A18" s="18">
        <v>9</v>
      </c>
      <c r="B18" s="385" t="s">
        <v>898</v>
      </c>
      <c r="C18" s="9"/>
      <c r="D18" s="9"/>
      <c r="E18" s="9"/>
      <c r="F18" s="9"/>
      <c r="G18" s="9"/>
      <c r="H18" s="9"/>
      <c r="I18" s="9"/>
      <c r="J18" s="9"/>
      <c r="K18" s="9"/>
      <c r="L18" s="9"/>
      <c r="N18" t="s">
        <v>11</v>
      </c>
    </row>
    <row r="19" spans="1:14" ht="14.25">
      <c r="A19" s="18">
        <v>10</v>
      </c>
      <c r="B19" s="385" t="s">
        <v>899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4" ht="14.25">
      <c r="A20" s="18">
        <v>11</v>
      </c>
      <c r="B20" s="385" t="s">
        <v>900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4" ht="14.25">
      <c r="A21" s="20">
        <v>12</v>
      </c>
      <c r="B21" s="385" t="s">
        <v>901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4" ht="14.25">
      <c r="A22" s="18">
        <v>13</v>
      </c>
      <c r="B22" s="385" t="s">
        <v>902</v>
      </c>
      <c r="C22" s="9"/>
      <c r="D22" s="9"/>
      <c r="E22" s="9"/>
      <c r="F22" s="9"/>
      <c r="G22" s="9"/>
      <c r="H22" s="9"/>
      <c r="I22" s="9"/>
      <c r="J22" s="9"/>
      <c r="K22" s="9"/>
      <c r="L22" s="19" t="s">
        <v>404</v>
      </c>
    </row>
    <row r="23" spans="1:14" ht="14.25">
      <c r="A23" s="18">
        <v>14</v>
      </c>
      <c r="B23" s="385" t="s">
        <v>903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4" ht="14.25">
      <c r="A24" s="538">
        <v>15</v>
      </c>
      <c r="B24" s="385" t="s">
        <v>904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4" ht="14.25">
      <c r="A25" s="20">
        <v>16</v>
      </c>
      <c r="B25" s="385" t="s">
        <v>905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4" ht="14.25">
      <c r="A26" s="538">
        <v>17</v>
      </c>
      <c r="B26" s="385" t="s">
        <v>906</v>
      </c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4" ht="14.25">
      <c r="A27" s="538">
        <v>18</v>
      </c>
      <c r="B27" s="385" t="s">
        <v>907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4" ht="14.25">
      <c r="A28" s="538">
        <v>19</v>
      </c>
      <c r="B28" s="385" t="s">
        <v>908</v>
      </c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4" ht="14.25">
      <c r="A29" s="20">
        <v>20</v>
      </c>
      <c r="B29" s="385" t="s">
        <v>909</v>
      </c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4" ht="14.25">
      <c r="A30" s="538">
        <v>21</v>
      </c>
      <c r="B30" s="385" t="s">
        <v>910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4" ht="14.25">
      <c r="A31" s="538">
        <v>22</v>
      </c>
      <c r="B31" s="385" t="s">
        <v>911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4" ht="14.25">
      <c r="A32" s="538">
        <v>23</v>
      </c>
      <c r="B32" s="385" t="s">
        <v>912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4.25">
      <c r="A33" s="20">
        <v>24</v>
      </c>
      <c r="B33" s="385" t="s">
        <v>913</v>
      </c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4.25">
      <c r="A34" s="538">
        <v>25</v>
      </c>
      <c r="B34" s="385" t="s">
        <v>914</v>
      </c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4.25">
      <c r="A35" s="538">
        <v>26</v>
      </c>
      <c r="B35" s="385" t="s">
        <v>915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4.25">
      <c r="A36" s="538">
        <v>27</v>
      </c>
      <c r="B36" s="385" t="s">
        <v>916</v>
      </c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4.25">
      <c r="A37" s="20">
        <v>28</v>
      </c>
      <c r="B37" s="385" t="s">
        <v>917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4.25">
      <c r="A38" s="538">
        <v>29</v>
      </c>
      <c r="B38" s="385" t="s">
        <v>918</v>
      </c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4.25">
      <c r="A39" s="538">
        <v>30</v>
      </c>
      <c r="B39" s="385" t="s">
        <v>919</v>
      </c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4.25">
      <c r="A40" s="538">
        <v>31</v>
      </c>
      <c r="B40" s="385" t="s">
        <v>920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4.25">
      <c r="A41" s="20">
        <v>32</v>
      </c>
      <c r="B41" s="385" t="s">
        <v>921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538">
        <v>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3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6" spans="1:12" ht="12.75" customHeight="1">
      <c r="A46" s="224"/>
      <c r="B46" s="224"/>
      <c r="C46" s="224"/>
      <c r="D46" s="224"/>
      <c r="E46" s="224"/>
      <c r="F46" s="224"/>
      <c r="K46" s="225" t="s">
        <v>13</v>
      </c>
    </row>
    <row r="47" spans="1:12" ht="12.75" customHeight="1">
      <c r="A47" s="224"/>
      <c r="B47" s="224"/>
      <c r="C47" s="224"/>
      <c r="D47" s="224"/>
      <c r="E47" s="224" t="s">
        <v>11</v>
      </c>
      <c r="F47" s="224"/>
      <c r="J47" s="917" t="s">
        <v>14</v>
      </c>
      <c r="K47" s="917"/>
      <c r="L47" s="917"/>
    </row>
    <row r="48" spans="1:12" ht="12.75" customHeight="1">
      <c r="A48" s="224"/>
      <c r="B48" s="224"/>
      <c r="C48" s="224"/>
      <c r="D48" s="224"/>
      <c r="E48" s="224"/>
      <c r="F48" s="224"/>
      <c r="J48" s="917" t="s">
        <v>90</v>
      </c>
      <c r="K48" s="917"/>
      <c r="L48" s="917"/>
    </row>
    <row r="49" spans="1:11">
      <c r="A49" s="224" t="s">
        <v>12</v>
      </c>
      <c r="F49" s="224"/>
      <c r="K49" s="226" t="s">
        <v>87</v>
      </c>
    </row>
  </sheetData>
  <mergeCells count="11">
    <mergeCell ref="J48:L48"/>
    <mergeCell ref="A1:K1"/>
    <mergeCell ref="C6:E6"/>
    <mergeCell ref="F6:I6"/>
    <mergeCell ref="J6:L6"/>
    <mergeCell ref="J47:L47"/>
    <mergeCell ref="A6:A7"/>
    <mergeCell ref="B6:B7"/>
    <mergeCell ref="A2:K2"/>
    <mergeCell ref="A4:K4"/>
    <mergeCell ref="J5:L5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view="pageBreakPreview" topLeftCell="A7" zoomScale="80" zoomScaleSheetLayoutView="80" workbookViewId="0">
      <selection activeCell="G37" sqref="G37"/>
    </sheetView>
  </sheetViews>
  <sheetFormatPr defaultRowHeight="12.75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>
      <c r="A1" s="919" t="s">
        <v>0</v>
      </c>
      <c r="B1" s="919"/>
      <c r="C1" s="919"/>
      <c r="D1" s="919"/>
      <c r="E1" s="919"/>
      <c r="F1" s="919"/>
      <c r="G1" s="919"/>
      <c r="H1" s="919"/>
      <c r="I1" s="329"/>
      <c r="J1" s="329"/>
      <c r="K1" s="261" t="s">
        <v>527</v>
      </c>
    </row>
    <row r="2" spans="1:11" ht="21">
      <c r="A2" s="920" t="s">
        <v>705</v>
      </c>
      <c r="B2" s="920"/>
      <c r="C2" s="920"/>
      <c r="D2" s="920"/>
      <c r="E2" s="920"/>
      <c r="F2" s="920"/>
      <c r="G2" s="920"/>
      <c r="H2" s="920"/>
      <c r="I2" s="216"/>
      <c r="J2" s="216"/>
    </row>
    <row r="3" spans="1:11" ht="15">
      <c r="A3" s="217"/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8">
      <c r="A4" s="919" t="s">
        <v>526</v>
      </c>
      <c r="B4" s="919"/>
      <c r="C4" s="919"/>
      <c r="D4" s="919"/>
      <c r="E4" s="919"/>
      <c r="F4" s="919"/>
      <c r="G4" s="919"/>
      <c r="H4" s="919"/>
      <c r="I4" s="329"/>
      <c r="J4" s="329"/>
    </row>
    <row r="5" spans="1:11" ht="15">
      <c r="A5" s="218" t="s">
        <v>922</v>
      </c>
      <c r="B5" s="218"/>
      <c r="C5" s="218"/>
      <c r="D5" s="218"/>
      <c r="E5" s="218"/>
      <c r="F5" s="218"/>
      <c r="G5" s="1009" t="s">
        <v>784</v>
      </c>
      <c r="H5" s="1009"/>
      <c r="I5" s="1009"/>
      <c r="J5" s="1009"/>
      <c r="K5" s="1009"/>
    </row>
    <row r="6" spans="1:11" ht="21.75" customHeight="1">
      <c r="A6" s="1010" t="s">
        <v>2</v>
      </c>
      <c r="B6" s="1010" t="s">
        <v>40</v>
      </c>
      <c r="C6" s="829" t="s">
        <v>485</v>
      </c>
      <c r="D6" s="855"/>
      <c r="E6" s="830"/>
      <c r="F6" s="829" t="s">
        <v>488</v>
      </c>
      <c r="G6" s="855"/>
      <c r="H6" s="830"/>
      <c r="I6" s="924" t="s">
        <v>654</v>
      </c>
      <c r="J6" s="924" t="s">
        <v>653</v>
      </c>
      <c r="K6" s="924" t="s">
        <v>81</v>
      </c>
    </row>
    <row r="7" spans="1:11" ht="29.25" customHeight="1">
      <c r="A7" s="1011"/>
      <c r="B7" s="1011"/>
      <c r="C7" s="5" t="s">
        <v>484</v>
      </c>
      <c r="D7" s="5" t="s">
        <v>486</v>
      </c>
      <c r="E7" s="5" t="s">
        <v>487</v>
      </c>
      <c r="F7" s="5" t="s">
        <v>484</v>
      </c>
      <c r="G7" s="5" t="s">
        <v>486</v>
      </c>
      <c r="H7" s="5" t="s">
        <v>487</v>
      </c>
      <c r="I7" s="925"/>
      <c r="J7" s="925"/>
      <c r="K7" s="925"/>
    </row>
    <row r="8" spans="1:11" ht="15">
      <c r="A8" s="321">
        <v>1</v>
      </c>
      <c r="B8" s="321">
        <v>2</v>
      </c>
      <c r="C8" s="321">
        <v>3</v>
      </c>
      <c r="D8" s="321">
        <v>4</v>
      </c>
      <c r="E8" s="321">
        <v>5</v>
      </c>
      <c r="F8" s="321">
        <v>6</v>
      </c>
      <c r="G8" s="321">
        <v>7</v>
      </c>
      <c r="H8" s="321">
        <v>8</v>
      </c>
      <c r="I8" s="321">
        <v>9</v>
      </c>
      <c r="J8" s="321">
        <v>10</v>
      </c>
      <c r="K8" s="321">
        <v>11</v>
      </c>
    </row>
    <row r="9" spans="1:11" ht="15">
      <c r="A9" s="320">
        <v>1</v>
      </c>
      <c r="B9" s="385" t="s">
        <v>889</v>
      </c>
      <c r="C9" s="5"/>
      <c r="D9" s="5"/>
      <c r="E9" s="5"/>
      <c r="F9" s="5"/>
      <c r="G9" s="5"/>
      <c r="H9" s="5"/>
      <c r="I9" s="5"/>
      <c r="J9" s="5"/>
      <c r="K9" s="221"/>
    </row>
    <row r="10" spans="1:11" ht="15">
      <c r="A10" s="320">
        <v>2</v>
      </c>
      <c r="B10" s="385" t="s">
        <v>890</v>
      </c>
      <c r="C10" s="5"/>
      <c r="D10" s="5"/>
      <c r="E10" s="5"/>
      <c r="F10" s="5"/>
      <c r="G10" s="5"/>
      <c r="H10" s="5"/>
      <c r="I10" s="5"/>
      <c r="J10" s="5"/>
      <c r="K10" s="221"/>
    </row>
    <row r="11" spans="1:11" ht="15">
      <c r="A11" s="320">
        <v>3</v>
      </c>
      <c r="B11" s="385" t="s">
        <v>891</v>
      </c>
      <c r="C11" s="5"/>
      <c r="D11" s="5"/>
      <c r="E11" s="5"/>
      <c r="F11" s="5"/>
      <c r="G11" s="5"/>
      <c r="H11" s="5"/>
      <c r="I11" s="5"/>
      <c r="J11" s="5"/>
      <c r="K11" s="221"/>
    </row>
    <row r="12" spans="1:11" ht="15">
      <c r="A12" s="320">
        <v>4</v>
      </c>
      <c r="B12" s="385" t="s">
        <v>892</v>
      </c>
      <c r="C12" s="5"/>
      <c r="D12" s="5"/>
      <c r="E12" s="5"/>
      <c r="F12" s="5"/>
      <c r="G12" s="5"/>
      <c r="H12" s="5"/>
      <c r="I12" s="5"/>
      <c r="J12" s="5"/>
      <c r="K12" s="221"/>
    </row>
    <row r="13" spans="1:11" ht="15">
      <c r="A13" s="320">
        <v>5</v>
      </c>
      <c r="B13" s="385" t="s">
        <v>893</v>
      </c>
      <c r="C13" s="5"/>
      <c r="D13" s="5"/>
      <c r="E13" s="5"/>
      <c r="F13" s="5"/>
      <c r="G13" s="5"/>
      <c r="H13" s="5"/>
      <c r="I13" s="5"/>
      <c r="J13" s="5"/>
      <c r="K13" s="221"/>
    </row>
    <row r="14" spans="1:11" ht="15">
      <c r="A14" s="320">
        <v>6</v>
      </c>
      <c r="B14" s="385" t="s">
        <v>894</v>
      </c>
      <c r="C14" s="5"/>
      <c r="D14" s="5"/>
      <c r="E14" s="5"/>
      <c r="F14" s="5"/>
      <c r="G14" s="5"/>
      <c r="H14" s="5"/>
      <c r="I14" s="5"/>
      <c r="J14" s="5"/>
      <c r="K14" s="221"/>
    </row>
    <row r="15" spans="1:11" ht="15">
      <c r="A15" s="320">
        <v>7</v>
      </c>
      <c r="B15" s="385" t="s">
        <v>895</v>
      </c>
      <c r="C15" s="5"/>
      <c r="D15" s="5"/>
      <c r="E15" s="5"/>
      <c r="F15" s="5"/>
      <c r="G15" s="5"/>
      <c r="H15" s="5"/>
      <c r="I15" s="5"/>
      <c r="J15" s="5"/>
      <c r="K15" s="221"/>
    </row>
    <row r="16" spans="1:11" ht="15">
      <c r="A16" s="320">
        <v>8</v>
      </c>
      <c r="B16" s="385" t="s">
        <v>896</v>
      </c>
      <c r="C16" s="5"/>
      <c r="D16" s="5"/>
      <c r="E16" s="5"/>
      <c r="F16" s="5"/>
      <c r="G16" s="5"/>
      <c r="H16" s="5"/>
      <c r="I16" s="5"/>
      <c r="J16" s="5"/>
      <c r="K16" s="221"/>
    </row>
    <row r="17" spans="1:13" ht="15">
      <c r="A17" s="320">
        <v>9</v>
      </c>
      <c r="B17" s="385" t="s">
        <v>897</v>
      </c>
      <c r="C17" s="9"/>
      <c r="D17" s="9"/>
      <c r="E17" s="9"/>
      <c r="F17" s="9"/>
      <c r="G17" s="9"/>
      <c r="H17" s="9"/>
      <c r="I17" s="9"/>
      <c r="J17" s="9"/>
      <c r="K17" s="9"/>
      <c r="M17" t="s">
        <v>11</v>
      </c>
    </row>
    <row r="18" spans="1:13" ht="15">
      <c r="A18" s="320">
        <v>10</v>
      </c>
      <c r="B18" s="385" t="s">
        <v>898</v>
      </c>
      <c r="C18" s="9"/>
      <c r="D18" s="9"/>
      <c r="E18" s="9"/>
      <c r="F18" s="9"/>
      <c r="G18" s="9"/>
      <c r="H18" s="9"/>
      <c r="I18" s="9"/>
      <c r="J18" s="9"/>
      <c r="K18" s="9"/>
    </row>
    <row r="19" spans="1:13" ht="15">
      <c r="A19" s="320">
        <v>11</v>
      </c>
      <c r="B19" s="385" t="s">
        <v>899</v>
      </c>
      <c r="C19" s="9"/>
      <c r="D19" s="9"/>
      <c r="E19" s="9"/>
      <c r="F19" s="9"/>
      <c r="G19" s="9"/>
      <c r="H19" s="9"/>
      <c r="I19" s="9"/>
      <c r="J19" s="9"/>
      <c r="K19" s="9"/>
    </row>
    <row r="20" spans="1:13" ht="15">
      <c r="A20" s="320">
        <v>12</v>
      </c>
      <c r="B20" s="385" t="s">
        <v>900</v>
      </c>
      <c r="C20" s="9"/>
      <c r="D20" s="9"/>
      <c r="E20" s="9"/>
      <c r="F20" s="9"/>
      <c r="G20" s="9"/>
      <c r="H20" s="9"/>
      <c r="I20" s="9"/>
      <c r="J20" s="9"/>
      <c r="K20" s="9"/>
    </row>
    <row r="21" spans="1:13" ht="15">
      <c r="A21" s="320">
        <v>13</v>
      </c>
      <c r="B21" s="385" t="s">
        <v>901</v>
      </c>
      <c r="C21" s="9"/>
      <c r="D21" s="9"/>
      <c r="E21" s="9"/>
      <c r="F21" s="9"/>
      <c r="G21" s="9"/>
      <c r="H21" s="9"/>
      <c r="I21" s="9"/>
      <c r="J21" s="9"/>
      <c r="K21" s="19" t="s">
        <v>404</v>
      </c>
    </row>
    <row r="22" spans="1:13" ht="15">
      <c r="A22" s="320">
        <v>14</v>
      </c>
      <c r="B22" s="385" t="s">
        <v>902</v>
      </c>
      <c r="C22" s="9"/>
      <c r="D22" s="9"/>
      <c r="E22" s="9"/>
      <c r="F22" s="9"/>
      <c r="G22" s="9"/>
      <c r="H22" s="9"/>
      <c r="I22" s="9"/>
      <c r="J22" s="9"/>
      <c r="K22" s="9"/>
    </row>
    <row r="23" spans="1:13" ht="15">
      <c r="A23" s="320">
        <v>15</v>
      </c>
      <c r="B23" s="385" t="s">
        <v>903</v>
      </c>
      <c r="C23" s="9"/>
      <c r="D23" s="9"/>
      <c r="E23" s="9"/>
      <c r="F23" s="9"/>
      <c r="G23" s="9"/>
      <c r="H23" s="9"/>
      <c r="I23" s="9"/>
      <c r="J23" s="9"/>
      <c r="K23" s="9"/>
    </row>
    <row r="24" spans="1:13" ht="15">
      <c r="A24" s="320">
        <v>16</v>
      </c>
      <c r="B24" s="385" t="s">
        <v>904</v>
      </c>
      <c r="C24" s="9"/>
      <c r="D24" s="9"/>
      <c r="E24" s="9"/>
      <c r="F24" s="9"/>
      <c r="G24" s="9"/>
      <c r="H24" s="9"/>
      <c r="I24" s="9"/>
      <c r="J24" s="9"/>
      <c r="K24" s="9"/>
    </row>
    <row r="25" spans="1:13" ht="15">
      <c r="A25" s="320">
        <v>17</v>
      </c>
      <c r="B25" s="385" t="s">
        <v>905</v>
      </c>
      <c r="C25" s="9"/>
      <c r="D25" s="9"/>
      <c r="E25" s="9"/>
      <c r="F25" s="9"/>
      <c r="G25" s="9"/>
      <c r="H25" s="9"/>
      <c r="I25" s="9"/>
      <c r="J25" s="9"/>
      <c r="K25" s="9"/>
    </row>
    <row r="26" spans="1:13" ht="15">
      <c r="A26" s="320">
        <v>18</v>
      </c>
      <c r="B26" s="385" t="s">
        <v>906</v>
      </c>
      <c r="C26" s="9"/>
      <c r="D26" s="9"/>
      <c r="E26" s="9"/>
      <c r="F26" s="9"/>
      <c r="G26" s="9"/>
      <c r="H26" s="9"/>
      <c r="I26" s="9"/>
      <c r="J26" s="9"/>
      <c r="K26" s="9"/>
    </row>
    <row r="27" spans="1:13" ht="15">
      <c r="A27" s="320">
        <v>19</v>
      </c>
      <c r="B27" s="385" t="s">
        <v>907</v>
      </c>
      <c r="C27" s="9"/>
      <c r="D27" s="9"/>
      <c r="E27" s="9"/>
      <c r="F27" s="9"/>
      <c r="G27" s="9"/>
      <c r="H27" s="9"/>
      <c r="I27" s="9"/>
      <c r="J27" s="9"/>
      <c r="K27" s="9"/>
    </row>
    <row r="28" spans="1:13" ht="15">
      <c r="A28" s="320">
        <v>20</v>
      </c>
      <c r="B28" s="385" t="s">
        <v>908</v>
      </c>
      <c r="C28" s="9"/>
      <c r="D28" s="9"/>
      <c r="E28" s="9"/>
      <c r="F28" s="9"/>
      <c r="G28" s="9"/>
      <c r="H28" s="9"/>
      <c r="I28" s="9"/>
      <c r="J28" s="9"/>
      <c r="K28" s="9"/>
    </row>
    <row r="29" spans="1:13" ht="15">
      <c r="A29" s="320">
        <v>21</v>
      </c>
      <c r="B29" s="385" t="s">
        <v>909</v>
      </c>
      <c r="C29" s="9"/>
      <c r="D29" s="9"/>
      <c r="E29" s="9"/>
      <c r="F29" s="9"/>
      <c r="G29" s="9"/>
      <c r="H29" s="9"/>
      <c r="I29" s="9"/>
      <c r="J29" s="9"/>
      <c r="K29" s="9"/>
    </row>
    <row r="30" spans="1:13" ht="15">
      <c r="A30" s="320">
        <v>22</v>
      </c>
      <c r="B30" s="385" t="s">
        <v>910</v>
      </c>
      <c r="C30" s="9"/>
      <c r="D30" s="9"/>
      <c r="E30" s="9"/>
      <c r="F30" s="9"/>
      <c r="G30" s="9"/>
      <c r="H30" s="9"/>
      <c r="I30" s="9"/>
      <c r="J30" s="9"/>
      <c r="K30" s="9"/>
    </row>
    <row r="31" spans="1:13" ht="15">
      <c r="A31" s="320">
        <v>23</v>
      </c>
      <c r="B31" s="385" t="s">
        <v>911</v>
      </c>
      <c r="C31" s="9"/>
      <c r="D31" s="9"/>
      <c r="E31" s="9"/>
      <c r="F31" s="9"/>
      <c r="G31" s="9"/>
      <c r="H31" s="9"/>
      <c r="I31" s="9"/>
      <c r="J31" s="9"/>
      <c r="K31" s="9"/>
    </row>
    <row r="32" spans="1:13" ht="15">
      <c r="A32" s="320">
        <v>24</v>
      </c>
      <c r="B32" s="385" t="s">
        <v>912</v>
      </c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s="320">
        <v>25</v>
      </c>
      <c r="B33" s="385" t="s">
        <v>913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15">
      <c r="A34" s="320">
        <v>26</v>
      </c>
      <c r="B34" s="385" t="s">
        <v>914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15">
      <c r="A35" s="320">
        <v>27</v>
      </c>
      <c r="B35" s="385" t="s">
        <v>915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320">
        <v>28</v>
      </c>
      <c r="B36" s="385" t="s">
        <v>916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320">
        <v>29</v>
      </c>
      <c r="B37" s="385" t="s">
        <v>917</v>
      </c>
      <c r="C37" s="9"/>
      <c r="D37" s="9"/>
      <c r="E37" s="9"/>
      <c r="F37" s="9"/>
      <c r="G37" s="9"/>
      <c r="H37" s="9"/>
      <c r="I37" s="9"/>
      <c r="J37" s="9"/>
      <c r="K37" s="9"/>
    </row>
    <row r="38" spans="1:11" ht="15">
      <c r="A38" s="320">
        <v>30</v>
      </c>
      <c r="B38" s="385" t="s">
        <v>918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15">
      <c r="A39" s="320">
        <v>31</v>
      </c>
      <c r="B39" s="385" t="s">
        <v>919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15">
      <c r="A40" s="320">
        <v>32</v>
      </c>
      <c r="B40" s="385" t="s">
        <v>920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15">
      <c r="A41" s="320">
        <v>33</v>
      </c>
      <c r="B41" s="385" t="s">
        <v>921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>
      <c r="A42" s="30" t="s">
        <v>19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5" spans="1:11" ht="12.75" customHeight="1">
      <c r="A45" s="224"/>
      <c r="B45" s="224"/>
      <c r="C45" s="224"/>
      <c r="D45" s="224"/>
      <c r="E45" s="224"/>
      <c r="F45" s="224"/>
    </row>
    <row r="46" spans="1:11" ht="12.75" customHeight="1">
      <c r="A46" s="224" t="s">
        <v>12</v>
      </c>
      <c r="B46" s="224"/>
      <c r="C46" s="224"/>
      <c r="D46" s="224"/>
      <c r="E46" s="224"/>
      <c r="F46" s="224"/>
      <c r="G46" s="917" t="s">
        <v>13</v>
      </c>
      <c r="H46" s="917"/>
      <c r="I46" s="917"/>
      <c r="J46" s="917"/>
      <c r="K46" s="917"/>
    </row>
    <row r="47" spans="1:11" ht="12.75" customHeight="1">
      <c r="A47" s="224"/>
      <c r="B47" s="224"/>
      <c r="C47" s="224"/>
      <c r="D47" s="224"/>
      <c r="E47" s="224"/>
      <c r="F47" s="224"/>
      <c r="G47" s="917" t="s">
        <v>14</v>
      </c>
      <c r="H47" s="917"/>
      <c r="I47" s="917"/>
      <c r="J47" s="917"/>
      <c r="K47" s="917"/>
    </row>
    <row r="48" spans="1:11" ht="12.75" customHeight="1">
      <c r="F48" s="224"/>
      <c r="H48" s="225" t="s">
        <v>90</v>
      </c>
      <c r="I48" s="225"/>
      <c r="J48" s="225"/>
    </row>
    <row r="49" spans="8:10">
      <c r="H49" s="226" t="s">
        <v>87</v>
      </c>
      <c r="I49" s="226"/>
      <c r="J49" s="226"/>
    </row>
  </sheetData>
  <mergeCells count="13">
    <mergeCell ref="G47:K47"/>
    <mergeCell ref="A6:A7"/>
    <mergeCell ref="B6:B7"/>
    <mergeCell ref="C6:E6"/>
    <mergeCell ref="F6:H6"/>
    <mergeCell ref="G46:K46"/>
    <mergeCell ref="G5:K5"/>
    <mergeCell ref="A1:H1"/>
    <mergeCell ref="A2:H2"/>
    <mergeCell ref="A4:H4"/>
    <mergeCell ref="K6:K7"/>
    <mergeCell ref="I6:I7"/>
    <mergeCell ref="J6:J7"/>
  </mergeCells>
  <printOptions horizontalCentered="1"/>
  <pageMargins left="0.70866141732283472" right="0.70866141732283472" top="0.23622047244094491" bottom="0" header="0.31496062992125984" footer="0.31496062992125984"/>
  <pageSetup paperSize="9" scale="78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5"/>
  </sheetPr>
  <dimension ref="A1:S55"/>
  <sheetViews>
    <sheetView view="pageBreakPreview" topLeftCell="A16" zoomScale="93" zoomScaleNormal="85" zoomScaleSheetLayoutView="93" workbookViewId="0">
      <selection activeCell="I34" sqref="I34"/>
    </sheetView>
  </sheetViews>
  <sheetFormatPr defaultRowHeight="12.75"/>
  <cols>
    <col min="1" max="1" width="7.42578125" customWidth="1"/>
    <col min="2" max="2" width="14" customWidth="1"/>
    <col min="3" max="4" width="12.7109375" customWidth="1"/>
    <col min="5" max="5" width="14.42578125" customWidth="1"/>
    <col min="6" max="6" width="17" customWidth="1"/>
    <col min="7" max="7" width="14.140625" customWidth="1"/>
    <col min="8" max="8" width="17" customWidth="1"/>
    <col min="9" max="9" width="13" customWidth="1"/>
    <col min="10" max="10" width="17" customWidth="1"/>
    <col min="11" max="11" width="15.5703125" customWidth="1"/>
    <col min="12" max="12" width="17.7109375" customWidth="1"/>
    <col min="13" max="14" width="10.140625" customWidth="1"/>
    <col min="15" max="15" width="9.28515625" customWidth="1"/>
    <col min="16" max="16" width="17.7109375" customWidth="1"/>
    <col min="17" max="17" width="9.7109375" bestFit="1" customWidth="1"/>
  </cols>
  <sheetData>
    <row r="1" spans="1:18" ht="15">
      <c r="A1" s="92"/>
      <c r="B1" s="92"/>
      <c r="C1" s="92"/>
      <c r="D1" s="92"/>
      <c r="E1" s="92"/>
      <c r="F1" s="92"/>
      <c r="G1" s="92"/>
      <c r="H1" s="92"/>
      <c r="K1" s="926" t="s">
        <v>91</v>
      </c>
      <c r="L1" s="926"/>
      <c r="M1" s="748"/>
      <c r="N1" s="791"/>
      <c r="O1" s="791"/>
      <c r="P1" s="791"/>
    </row>
    <row r="2" spans="1:18" ht="15.75">
      <c r="A2" s="1047" t="s">
        <v>0</v>
      </c>
      <c r="B2" s="1047"/>
      <c r="C2" s="1047"/>
      <c r="D2" s="1047"/>
      <c r="E2" s="1047"/>
      <c r="F2" s="1047"/>
      <c r="G2" s="1047"/>
      <c r="H2" s="1047"/>
      <c r="I2" s="92"/>
      <c r="J2" s="92"/>
      <c r="K2" s="92"/>
      <c r="L2" s="92"/>
      <c r="M2" s="92"/>
      <c r="N2" s="92"/>
      <c r="O2" s="92"/>
      <c r="P2" s="92"/>
    </row>
    <row r="3" spans="1:18" ht="20.25">
      <c r="A3" s="912" t="s">
        <v>705</v>
      </c>
      <c r="B3" s="912"/>
      <c r="C3" s="912"/>
      <c r="D3" s="912"/>
      <c r="E3" s="912"/>
      <c r="F3" s="912"/>
      <c r="G3" s="912"/>
      <c r="H3" s="912"/>
      <c r="I3" s="92"/>
      <c r="J3" s="92"/>
      <c r="K3" s="92"/>
      <c r="L3" s="92"/>
      <c r="M3" s="92"/>
      <c r="N3" s="92"/>
      <c r="O3" s="92"/>
      <c r="P3" s="92"/>
    </row>
    <row r="4" spans="1:18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8" ht="15.75">
      <c r="A5" s="913" t="s">
        <v>774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746"/>
      <c r="N5" s="789"/>
      <c r="O5" s="789"/>
      <c r="P5" s="789"/>
    </row>
    <row r="6" spans="1:18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18">
      <c r="A7" s="850" t="s">
        <v>923</v>
      </c>
      <c r="B7" s="850"/>
      <c r="C7" s="92"/>
      <c r="D7" s="92"/>
      <c r="E7" s="92"/>
      <c r="F7" s="92"/>
      <c r="G7" s="92"/>
      <c r="H7" s="323"/>
      <c r="I7" s="92"/>
      <c r="J7" s="92"/>
      <c r="K7" s="92"/>
      <c r="L7" s="92"/>
      <c r="M7" s="92"/>
      <c r="N7" s="92"/>
      <c r="O7" s="92"/>
      <c r="P7" s="92"/>
    </row>
    <row r="8" spans="1:18" ht="18">
      <c r="A8" s="95"/>
      <c r="B8" s="95"/>
      <c r="C8" s="92"/>
      <c r="D8" s="92"/>
      <c r="E8" s="92"/>
      <c r="F8" s="92"/>
      <c r="G8" s="92"/>
      <c r="H8" s="92"/>
      <c r="I8" s="120"/>
      <c r="J8" s="144"/>
      <c r="K8" s="922" t="s">
        <v>782</v>
      </c>
      <c r="L8" s="922"/>
      <c r="M8" s="747"/>
      <c r="N8" s="790"/>
      <c r="O8" s="790"/>
      <c r="P8" s="790"/>
    </row>
    <row r="9" spans="1:18" ht="27.75" customHeight="1">
      <c r="A9" s="1045" t="s">
        <v>222</v>
      </c>
      <c r="B9" s="1045" t="s">
        <v>221</v>
      </c>
      <c r="C9" s="844" t="s">
        <v>493</v>
      </c>
      <c r="D9" s="844" t="s">
        <v>494</v>
      </c>
      <c r="E9" s="1043" t="s">
        <v>495</v>
      </c>
      <c r="F9" s="1043"/>
      <c r="G9" s="1043" t="s">
        <v>450</v>
      </c>
      <c r="H9" s="1043"/>
      <c r="I9" s="1043" t="s">
        <v>232</v>
      </c>
      <c r="J9" s="1043"/>
      <c r="K9" s="1044" t="s">
        <v>233</v>
      </c>
      <c r="L9" s="1044"/>
      <c r="M9" s="750"/>
      <c r="N9" s="750"/>
      <c r="O9" s="750"/>
      <c r="P9" s="750"/>
    </row>
    <row r="10" spans="1:18" ht="43.9" customHeight="1">
      <c r="A10" s="1046"/>
      <c r="B10" s="1046"/>
      <c r="C10" s="844"/>
      <c r="D10" s="844"/>
      <c r="E10" s="5" t="s">
        <v>220</v>
      </c>
      <c r="F10" s="5" t="s">
        <v>202</v>
      </c>
      <c r="G10" s="5" t="s">
        <v>220</v>
      </c>
      <c r="H10" s="5" t="s">
        <v>202</v>
      </c>
      <c r="I10" s="5" t="s">
        <v>220</v>
      </c>
      <c r="J10" s="5" t="s">
        <v>202</v>
      </c>
      <c r="K10" s="5" t="s">
        <v>876</v>
      </c>
      <c r="L10" s="5" t="s">
        <v>875</v>
      </c>
      <c r="M10" s="127"/>
      <c r="N10" s="127"/>
      <c r="O10" s="127"/>
      <c r="P10" s="127"/>
    </row>
    <row r="11" spans="1:18" s="14" customFormat="1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463">
        <v>10</v>
      </c>
      <c r="K11" s="97">
        <v>11</v>
      </c>
      <c r="L11" s="97">
        <v>12</v>
      </c>
      <c r="M11" s="751"/>
      <c r="N11" s="751"/>
      <c r="O11" s="751"/>
      <c r="P11" s="751"/>
      <c r="Q11" s="543">
        <f>8050777/3812947*J12</f>
        <v>0</v>
      </c>
    </row>
    <row r="12" spans="1:18" ht="15">
      <c r="A12" s="99">
        <v>1</v>
      </c>
      <c r="B12" s="385" t="s">
        <v>889</v>
      </c>
      <c r="C12" s="99">
        <v>1891</v>
      </c>
      <c r="D12" s="745">
        <v>226149</v>
      </c>
      <c r="E12" s="100">
        <v>1608</v>
      </c>
      <c r="F12" s="787">
        <v>136345</v>
      </c>
      <c r="G12" s="100"/>
      <c r="H12" s="100"/>
      <c r="I12" s="169"/>
      <c r="J12" s="688"/>
      <c r="K12" s="603"/>
      <c r="L12" s="99"/>
      <c r="M12" s="798">
        <f>E12/C12*100</f>
        <v>85.034373347435221</v>
      </c>
      <c r="N12" s="798">
        <f>F12/D12*100</f>
        <v>60.289897368549049</v>
      </c>
      <c r="O12" s="798">
        <v>60.29</v>
      </c>
      <c r="P12" s="799">
        <f>D12*O12/100</f>
        <v>136345.23209999999</v>
      </c>
      <c r="Q12" s="543">
        <f t="shared" ref="Q12:Q44" si="0">8050777/3812947*J13</f>
        <v>0</v>
      </c>
      <c r="R12" s="14">
        <v>1608</v>
      </c>
    </row>
    <row r="13" spans="1:18" ht="15">
      <c r="A13" s="99">
        <v>2</v>
      </c>
      <c r="B13" s="385" t="s">
        <v>890</v>
      </c>
      <c r="C13" s="99">
        <v>2873</v>
      </c>
      <c r="D13" s="745">
        <v>293375</v>
      </c>
      <c r="E13" s="100">
        <v>2723</v>
      </c>
      <c r="F13" s="787">
        <v>251950</v>
      </c>
      <c r="G13" s="100"/>
      <c r="H13" s="100"/>
      <c r="I13" s="169"/>
      <c r="J13" s="688"/>
      <c r="K13" s="603"/>
      <c r="L13" s="99"/>
      <c r="M13" s="798">
        <f t="shared" ref="M13:M44" si="1">E13/C13*100</f>
        <v>94.778976679429178</v>
      </c>
      <c r="N13" s="798">
        <f t="shared" ref="N13:N44" si="2">F13/D13*100</f>
        <v>85.879846612697065</v>
      </c>
      <c r="O13" s="798">
        <v>85.88</v>
      </c>
      <c r="P13" s="799">
        <f t="shared" ref="P13:P44" si="3">D13*O13/100</f>
        <v>251950.45</v>
      </c>
      <c r="Q13" s="543">
        <f t="shared" si="0"/>
        <v>0</v>
      </c>
      <c r="R13" s="14">
        <v>2723</v>
      </c>
    </row>
    <row r="14" spans="1:18" ht="15">
      <c r="A14" s="99">
        <v>3</v>
      </c>
      <c r="B14" s="385" t="s">
        <v>891</v>
      </c>
      <c r="C14" s="99">
        <v>2683</v>
      </c>
      <c r="D14" s="745">
        <v>279889</v>
      </c>
      <c r="E14" s="100">
        <v>2074</v>
      </c>
      <c r="F14" s="787">
        <v>135830</v>
      </c>
      <c r="G14" s="100"/>
      <c r="H14" s="100"/>
      <c r="I14" s="169"/>
      <c r="J14" s="688"/>
      <c r="K14" s="603"/>
      <c r="L14" s="99"/>
      <c r="M14" s="798">
        <f t="shared" si="1"/>
        <v>77.301528140141627</v>
      </c>
      <c r="N14" s="798">
        <f t="shared" si="2"/>
        <v>48.529952945632019</v>
      </c>
      <c r="O14" s="798">
        <v>48.53</v>
      </c>
      <c r="P14" s="799">
        <f t="shared" si="3"/>
        <v>135830.1317</v>
      </c>
      <c r="Q14" s="543">
        <f t="shared" si="0"/>
        <v>0</v>
      </c>
      <c r="R14" s="14">
        <v>2074</v>
      </c>
    </row>
    <row r="15" spans="1:18" ht="15">
      <c r="A15" s="99">
        <v>4</v>
      </c>
      <c r="B15" s="385" t="s">
        <v>892</v>
      </c>
      <c r="C15" s="99">
        <v>1315</v>
      </c>
      <c r="D15" s="745">
        <v>121287</v>
      </c>
      <c r="E15" s="100">
        <v>1232</v>
      </c>
      <c r="F15" s="787">
        <v>67108</v>
      </c>
      <c r="G15" s="100"/>
      <c r="H15" s="100"/>
      <c r="I15" s="169"/>
      <c r="J15" s="688"/>
      <c r="K15" s="603"/>
      <c r="L15" s="99"/>
      <c r="M15" s="798">
        <f t="shared" si="1"/>
        <v>93.688212927756652</v>
      </c>
      <c r="N15" s="798">
        <f t="shared" si="2"/>
        <v>55.329919941955851</v>
      </c>
      <c r="O15" s="798">
        <v>55.33</v>
      </c>
      <c r="P15" s="799">
        <f t="shared" si="3"/>
        <v>67108.097099999999</v>
      </c>
      <c r="Q15" s="543">
        <f t="shared" si="0"/>
        <v>0</v>
      </c>
      <c r="R15" s="14">
        <v>1232</v>
      </c>
    </row>
    <row r="16" spans="1:18" ht="15">
      <c r="A16" s="99">
        <v>5</v>
      </c>
      <c r="B16" s="385" t="s">
        <v>893</v>
      </c>
      <c r="C16" s="99">
        <v>4902</v>
      </c>
      <c r="D16" s="745">
        <v>408236</v>
      </c>
      <c r="E16" s="100">
        <v>2016</v>
      </c>
      <c r="F16" s="787">
        <v>229143</v>
      </c>
      <c r="G16" s="100"/>
      <c r="H16" s="100"/>
      <c r="I16" s="169"/>
      <c r="J16" s="688"/>
      <c r="K16" s="603"/>
      <c r="L16" s="99"/>
      <c r="M16" s="798">
        <f t="shared" si="1"/>
        <v>41.126070991432066</v>
      </c>
      <c r="N16" s="798">
        <f t="shared" si="2"/>
        <v>56.130032628185653</v>
      </c>
      <c r="O16" s="798">
        <v>56.13</v>
      </c>
      <c r="P16" s="799">
        <f t="shared" si="3"/>
        <v>229142.86679999999</v>
      </c>
      <c r="Q16" s="543">
        <f t="shared" si="0"/>
        <v>0</v>
      </c>
      <c r="R16" s="14">
        <v>2016</v>
      </c>
    </row>
    <row r="17" spans="1:19" ht="15">
      <c r="A17" s="99">
        <v>6</v>
      </c>
      <c r="B17" s="385" t="s">
        <v>894</v>
      </c>
      <c r="C17" s="99">
        <v>1748</v>
      </c>
      <c r="D17" s="745">
        <v>200828</v>
      </c>
      <c r="E17" s="100">
        <v>1626</v>
      </c>
      <c r="F17" s="787">
        <v>155039</v>
      </c>
      <c r="G17" s="100"/>
      <c r="H17" s="100"/>
      <c r="I17" s="169"/>
      <c r="J17" s="688"/>
      <c r="K17" s="603"/>
      <c r="L17" s="99"/>
      <c r="M17" s="798">
        <f t="shared" si="1"/>
        <v>93.020594965675059</v>
      </c>
      <c r="N17" s="798">
        <f t="shared" si="2"/>
        <v>77.199892445276546</v>
      </c>
      <c r="O17" s="798">
        <v>77.2</v>
      </c>
      <c r="P17" s="799">
        <f t="shared" si="3"/>
        <v>155039.21600000001</v>
      </c>
      <c r="Q17" s="543">
        <f t="shared" si="0"/>
        <v>0</v>
      </c>
      <c r="R17" s="14">
        <v>1626</v>
      </c>
    </row>
    <row r="18" spans="1:19" ht="15">
      <c r="A18" s="99">
        <v>7</v>
      </c>
      <c r="B18" s="385" t="s">
        <v>895</v>
      </c>
      <c r="C18" s="99">
        <v>2911</v>
      </c>
      <c r="D18" s="745">
        <v>267745</v>
      </c>
      <c r="E18" s="100">
        <v>2527</v>
      </c>
      <c r="F18" s="787">
        <v>182790</v>
      </c>
      <c r="G18" s="100"/>
      <c r="H18" s="100"/>
      <c r="I18" s="169"/>
      <c r="J18" s="688"/>
      <c r="K18" s="603"/>
      <c r="L18" s="99"/>
      <c r="M18" s="798">
        <f t="shared" si="1"/>
        <v>86.808656818962561</v>
      </c>
      <c r="N18" s="798">
        <f t="shared" si="2"/>
        <v>68.270182449718959</v>
      </c>
      <c r="O18" s="798">
        <v>68.27</v>
      </c>
      <c r="P18" s="799">
        <f t="shared" si="3"/>
        <v>182789.51149999999</v>
      </c>
      <c r="Q18" s="543">
        <f t="shared" si="0"/>
        <v>0</v>
      </c>
      <c r="R18" s="14">
        <v>2527</v>
      </c>
    </row>
    <row r="19" spans="1:19" ht="15">
      <c r="A19" s="99">
        <v>8</v>
      </c>
      <c r="B19" s="385" t="s">
        <v>896</v>
      </c>
      <c r="C19" s="99">
        <v>1975</v>
      </c>
      <c r="D19" s="745">
        <v>199348</v>
      </c>
      <c r="E19" s="100">
        <v>1720</v>
      </c>
      <c r="F19" s="787">
        <v>160037</v>
      </c>
      <c r="G19" s="100"/>
      <c r="H19" s="100"/>
      <c r="I19" s="169"/>
      <c r="J19" s="688"/>
      <c r="K19" s="603"/>
      <c r="L19" s="99"/>
      <c r="M19" s="798">
        <f t="shared" si="1"/>
        <v>87.088607594936704</v>
      </c>
      <c r="N19" s="798">
        <f t="shared" si="2"/>
        <v>80.280213495996961</v>
      </c>
      <c r="O19" s="798">
        <v>80.28</v>
      </c>
      <c r="P19" s="799">
        <f t="shared" si="3"/>
        <v>160036.57439999998</v>
      </c>
      <c r="Q19" s="543">
        <f t="shared" si="0"/>
        <v>0</v>
      </c>
      <c r="R19" s="14">
        <v>1720</v>
      </c>
    </row>
    <row r="20" spans="1:19" ht="15">
      <c r="A20" s="99">
        <v>9</v>
      </c>
      <c r="B20" s="385" t="s">
        <v>897</v>
      </c>
      <c r="C20" s="99">
        <v>1280</v>
      </c>
      <c r="D20" s="745">
        <v>111012</v>
      </c>
      <c r="E20" s="100">
        <v>761</v>
      </c>
      <c r="F20" s="787">
        <v>55706</v>
      </c>
      <c r="G20" s="100"/>
      <c r="H20" s="100"/>
      <c r="I20" s="169"/>
      <c r="J20" s="688"/>
      <c r="K20" s="603"/>
      <c r="L20" s="99"/>
      <c r="M20" s="798">
        <f t="shared" si="1"/>
        <v>59.453124999999993</v>
      </c>
      <c r="N20" s="798">
        <f t="shared" si="2"/>
        <v>50.18016070334739</v>
      </c>
      <c r="O20" s="798">
        <v>50.18</v>
      </c>
      <c r="P20" s="799">
        <f t="shared" si="3"/>
        <v>55705.821600000003</v>
      </c>
      <c r="Q20" s="543">
        <f t="shared" si="0"/>
        <v>0</v>
      </c>
      <c r="R20" s="14">
        <v>761</v>
      </c>
    </row>
    <row r="21" spans="1:19" ht="15">
      <c r="A21" s="99">
        <v>10</v>
      </c>
      <c r="B21" s="385" t="s">
        <v>898</v>
      </c>
      <c r="C21" s="99">
        <v>1832</v>
      </c>
      <c r="D21" s="745">
        <v>155950</v>
      </c>
      <c r="E21" s="100">
        <v>1744</v>
      </c>
      <c r="F21" s="787">
        <v>101991</v>
      </c>
      <c r="G21" s="100"/>
      <c r="H21" s="100"/>
      <c r="I21" s="169"/>
      <c r="J21" s="688"/>
      <c r="K21" s="603"/>
      <c r="L21" s="99"/>
      <c r="M21" s="798">
        <f t="shared" si="1"/>
        <v>95.196506550218345</v>
      </c>
      <c r="N21" s="798">
        <f t="shared" si="2"/>
        <v>65.399807630650855</v>
      </c>
      <c r="O21" s="798">
        <v>65.400000000000006</v>
      </c>
      <c r="P21" s="799">
        <f t="shared" si="3"/>
        <v>101991.3</v>
      </c>
      <c r="Q21" s="543">
        <f t="shared" si="0"/>
        <v>0</v>
      </c>
      <c r="R21" s="14">
        <v>1744</v>
      </c>
    </row>
    <row r="22" spans="1:19" ht="15">
      <c r="A22" s="99">
        <v>11</v>
      </c>
      <c r="B22" s="385" t="s">
        <v>899</v>
      </c>
      <c r="C22" s="99">
        <v>1414</v>
      </c>
      <c r="D22" s="745">
        <v>167473</v>
      </c>
      <c r="E22" s="100">
        <v>1333</v>
      </c>
      <c r="F22" s="787">
        <v>91440</v>
      </c>
      <c r="G22" s="100"/>
      <c r="H22" s="100"/>
      <c r="I22" s="169"/>
      <c r="J22" s="688"/>
      <c r="K22" s="603"/>
      <c r="L22" s="99"/>
      <c r="M22" s="798">
        <f t="shared" si="1"/>
        <v>94.271570014144274</v>
      </c>
      <c r="N22" s="798">
        <f t="shared" si="2"/>
        <v>54.599845945316559</v>
      </c>
      <c r="O22" s="798">
        <v>54.6</v>
      </c>
      <c r="P22" s="799">
        <f t="shared" si="3"/>
        <v>91440.258000000002</v>
      </c>
      <c r="Q22" s="543">
        <f t="shared" si="0"/>
        <v>0</v>
      </c>
      <c r="R22" s="14">
        <v>1333</v>
      </c>
    </row>
    <row r="23" spans="1:19" ht="15">
      <c r="A23" s="99">
        <v>12</v>
      </c>
      <c r="B23" s="385" t="s">
        <v>900</v>
      </c>
      <c r="C23" s="99">
        <v>1534</v>
      </c>
      <c r="D23" s="745">
        <v>131065</v>
      </c>
      <c r="E23" s="100">
        <v>1438</v>
      </c>
      <c r="F23" s="787">
        <v>90304</v>
      </c>
      <c r="G23" s="100"/>
      <c r="H23" s="100"/>
      <c r="I23" s="169"/>
      <c r="J23" s="688"/>
      <c r="K23" s="603"/>
      <c r="L23" s="99"/>
      <c r="M23" s="798">
        <f t="shared" si="1"/>
        <v>93.741851368970003</v>
      </c>
      <c r="N23" s="798">
        <f t="shared" si="2"/>
        <v>68.900164040743135</v>
      </c>
      <c r="O23" s="798">
        <v>68.900000000000006</v>
      </c>
      <c r="P23" s="799">
        <f t="shared" si="3"/>
        <v>90303.785000000003</v>
      </c>
      <c r="Q23" s="543">
        <f t="shared" si="0"/>
        <v>0</v>
      </c>
      <c r="R23" s="14">
        <v>1438</v>
      </c>
    </row>
    <row r="24" spans="1:19" ht="15">
      <c r="A24" s="99">
        <v>13</v>
      </c>
      <c r="B24" s="385" t="s">
        <v>901</v>
      </c>
      <c r="C24" s="99">
        <v>1150</v>
      </c>
      <c r="D24" s="745">
        <v>151979</v>
      </c>
      <c r="E24" s="100">
        <v>1040</v>
      </c>
      <c r="F24" s="787">
        <v>116249</v>
      </c>
      <c r="G24" s="100"/>
      <c r="H24" s="100"/>
      <c r="I24" s="169"/>
      <c r="J24" s="688"/>
      <c r="K24" s="603"/>
      <c r="L24" s="99"/>
      <c r="M24" s="798">
        <f t="shared" si="1"/>
        <v>90.434782608695656</v>
      </c>
      <c r="N24" s="798">
        <f t="shared" si="2"/>
        <v>76.49017298442547</v>
      </c>
      <c r="O24" s="798">
        <v>76.489999999999995</v>
      </c>
      <c r="P24" s="799">
        <f t="shared" si="3"/>
        <v>116248.73709999998</v>
      </c>
      <c r="Q24" s="543">
        <f t="shared" si="0"/>
        <v>0</v>
      </c>
      <c r="R24" s="14">
        <v>1040</v>
      </c>
    </row>
    <row r="25" spans="1:19" ht="15">
      <c r="A25" s="99">
        <v>14</v>
      </c>
      <c r="B25" s="385" t="s">
        <v>902</v>
      </c>
      <c r="C25" s="99">
        <v>2239</v>
      </c>
      <c r="D25" s="745">
        <v>213946</v>
      </c>
      <c r="E25" s="100">
        <v>1503</v>
      </c>
      <c r="F25" s="787">
        <v>152372</v>
      </c>
      <c r="G25" s="100"/>
      <c r="H25" s="100"/>
      <c r="I25" s="169"/>
      <c r="J25" s="688"/>
      <c r="K25" s="603"/>
      <c r="L25" s="99"/>
      <c r="M25" s="798">
        <f t="shared" si="1"/>
        <v>67.128182224207237</v>
      </c>
      <c r="N25" s="798">
        <f t="shared" si="2"/>
        <v>71.219840520505173</v>
      </c>
      <c r="O25" s="798">
        <v>71.22</v>
      </c>
      <c r="P25" s="799">
        <f t="shared" si="3"/>
        <v>152372.3412</v>
      </c>
      <c r="Q25" s="543">
        <f t="shared" si="0"/>
        <v>0</v>
      </c>
      <c r="R25" s="14">
        <v>1503</v>
      </c>
    </row>
    <row r="26" spans="1:19" s="317" customFormat="1" ht="15">
      <c r="A26" s="800">
        <v>15</v>
      </c>
      <c r="B26" s="385" t="s">
        <v>903</v>
      </c>
      <c r="C26" s="800">
        <v>1924</v>
      </c>
      <c r="D26" s="801">
        <v>143860</v>
      </c>
      <c r="E26" s="802">
        <v>1817</v>
      </c>
      <c r="F26" s="299">
        <v>99537</v>
      </c>
      <c r="G26" s="802"/>
      <c r="H26" s="802"/>
      <c r="I26" s="803"/>
      <c r="J26" s="804"/>
      <c r="K26" s="805"/>
      <c r="L26" s="800"/>
      <c r="M26" s="806">
        <f t="shared" si="1"/>
        <v>94.438669438669436</v>
      </c>
      <c r="N26" s="798">
        <f t="shared" si="2"/>
        <v>69.190184901988033</v>
      </c>
      <c r="O26" s="806">
        <v>69.19</v>
      </c>
      <c r="P26" s="807">
        <f t="shared" si="3"/>
        <v>99536.733999999997</v>
      </c>
      <c r="Q26" s="808">
        <f t="shared" si="0"/>
        <v>0</v>
      </c>
      <c r="R26" s="305">
        <v>1046</v>
      </c>
    </row>
    <row r="27" spans="1:19" ht="15">
      <c r="A27" s="99">
        <v>16</v>
      </c>
      <c r="B27" s="385" t="s">
        <v>904</v>
      </c>
      <c r="C27" s="99">
        <v>1094</v>
      </c>
      <c r="D27" s="745">
        <v>123216</v>
      </c>
      <c r="E27" s="100">
        <v>1046</v>
      </c>
      <c r="F27" s="787">
        <v>97180</v>
      </c>
      <c r="G27" s="100"/>
      <c r="H27" s="100"/>
      <c r="I27" s="169"/>
      <c r="J27" s="688"/>
      <c r="K27" s="603"/>
      <c r="L27" s="99"/>
      <c r="M27" s="798">
        <f t="shared" si="1"/>
        <v>95.612431444241324</v>
      </c>
      <c r="N27" s="798">
        <f t="shared" si="2"/>
        <v>78.869627321127126</v>
      </c>
      <c r="O27" s="798">
        <v>78.87</v>
      </c>
      <c r="P27" s="799">
        <f t="shared" si="3"/>
        <v>97180.459199999998</v>
      </c>
      <c r="Q27" s="543">
        <f t="shared" si="0"/>
        <v>0</v>
      </c>
      <c r="R27" s="283">
        <v>1883</v>
      </c>
      <c r="S27">
        <f>R27+R28</f>
        <v>1883</v>
      </c>
    </row>
    <row r="28" spans="1:19" ht="15">
      <c r="A28" s="99">
        <v>17</v>
      </c>
      <c r="B28" s="385" t="s">
        <v>905</v>
      </c>
      <c r="C28" s="99">
        <v>3651</v>
      </c>
      <c r="D28" s="745">
        <v>315114</v>
      </c>
      <c r="E28" s="100">
        <v>3200</v>
      </c>
      <c r="F28" s="787">
        <v>236588</v>
      </c>
      <c r="G28" s="100"/>
      <c r="H28" s="100"/>
      <c r="I28" s="169"/>
      <c r="J28" s="688"/>
      <c r="K28" s="603"/>
      <c r="L28" s="99"/>
      <c r="M28" s="798">
        <f t="shared" si="1"/>
        <v>87.647219939742541</v>
      </c>
      <c r="N28" s="798">
        <f t="shared" si="2"/>
        <v>75.080129730827565</v>
      </c>
      <c r="O28" s="798">
        <v>75.08</v>
      </c>
      <c r="P28" s="799">
        <f t="shared" si="3"/>
        <v>236587.59120000002</v>
      </c>
      <c r="Q28" s="543"/>
      <c r="R28" s="283"/>
    </row>
    <row r="29" spans="1:19" ht="15">
      <c r="A29" s="99">
        <v>18</v>
      </c>
      <c r="B29" s="385" t="s">
        <v>906</v>
      </c>
      <c r="C29" s="99">
        <v>1280</v>
      </c>
      <c r="D29" s="745">
        <v>96122</v>
      </c>
      <c r="E29" s="100">
        <v>748</v>
      </c>
      <c r="F29" s="787">
        <v>50368</v>
      </c>
      <c r="G29" s="100"/>
      <c r="H29" s="100"/>
      <c r="I29" s="169"/>
      <c r="J29" s="688"/>
      <c r="K29" s="603"/>
      <c r="L29" s="99"/>
      <c r="M29" s="798">
        <f t="shared" si="1"/>
        <v>58.4375</v>
      </c>
      <c r="N29" s="798">
        <f t="shared" si="2"/>
        <v>52.40007490480847</v>
      </c>
      <c r="O29" s="798">
        <v>52.4</v>
      </c>
      <c r="P29" s="799">
        <f t="shared" si="3"/>
        <v>50367.928</v>
      </c>
      <c r="Q29" s="543">
        <f t="shared" si="0"/>
        <v>0</v>
      </c>
      <c r="R29" s="14">
        <v>748</v>
      </c>
    </row>
    <row r="30" spans="1:19" ht="15">
      <c r="A30" s="99">
        <v>19</v>
      </c>
      <c r="B30" s="385" t="s">
        <v>907</v>
      </c>
      <c r="C30" s="99">
        <v>1908</v>
      </c>
      <c r="D30" s="745">
        <v>204589</v>
      </c>
      <c r="E30" s="100">
        <v>1468</v>
      </c>
      <c r="F30" s="787">
        <v>135397</v>
      </c>
      <c r="G30" s="100"/>
      <c r="H30" s="100"/>
      <c r="I30" s="169"/>
      <c r="J30" s="688"/>
      <c r="K30" s="603"/>
      <c r="L30" s="99"/>
      <c r="M30" s="798">
        <f t="shared" si="1"/>
        <v>76.939203354297689</v>
      </c>
      <c r="N30" s="798">
        <f t="shared" si="2"/>
        <v>66.17999990224304</v>
      </c>
      <c r="O30" s="798">
        <v>66.180000000000007</v>
      </c>
      <c r="P30" s="799">
        <f t="shared" si="3"/>
        <v>135397.00020000001</v>
      </c>
      <c r="Q30" s="543">
        <f t="shared" si="0"/>
        <v>0</v>
      </c>
      <c r="R30" s="14">
        <v>1468</v>
      </c>
    </row>
    <row r="31" spans="1:19" ht="15">
      <c r="A31" s="99">
        <v>20</v>
      </c>
      <c r="B31" s="385" t="s">
        <v>908</v>
      </c>
      <c r="C31" s="99">
        <v>1754</v>
      </c>
      <c r="D31" s="745">
        <v>156512</v>
      </c>
      <c r="E31" s="100">
        <v>1653</v>
      </c>
      <c r="F31" s="787">
        <v>90558</v>
      </c>
      <c r="G31" s="100"/>
      <c r="H31" s="100"/>
      <c r="I31" s="169"/>
      <c r="J31" s="688"/>
      <c r="K31" s="603"/>
      <c r="L31" s="99"/>
      <c r="M31" s="798">
        <f t="shared" si="1"/>
        <v>94.241733181299892</v>
      </c>
      <c r="N31" s="798">
        <f t="shared" si="2"/>
        <v>57.860100184011451</v>
      </c>
      <c r="O31" s="798">
        <v>57.86</v>
      </c>
      <c r="P31" s="799">
        <f t="shared" si="3"/>
        <v>90557.843200000003</v>
      </c>
      <c r="Q31" s="543">
        <f t="shared" si="0"/>
        <v>0</v>
      </c>
      <c r="R31" s="14">
        <v>1653</v>
      </c>
    </row>
    <row r="32" spans="1:19" ht="15">
      <c r="A32" s="99">
        <v>21</v>
      </c>
      <c r="B32" s="385" t="s">
        <v>909</v>
      </c>
      <c r="C32" s="99">
        <v>1554</v>
      </c>
      <c r="D32" s="745">
        <v>102105</v>
      </c>
      <c r="E32" s="100">
        <v>1285</v>
      </c>
      <c r="F32" s="787">
        <v>80071</v>
      </c>
      <c r="G32" s="100"/>
      <c r="H32" s="100"/>
      <c r="I32" s="169"/>
      <c r="J32" s="688"/>
      <c r="K32" s="603"/>
      <c r="L32" s="99"/>
      <c r="M32" s="798">
        <f t="shared" si="1"/>
        <v>82.689832689832684</v>
      </c>
      <c r="N32" s="798">
        <f t="shared" si="2"/>
        <v>78.420253660447585</v>
      </c>
      <c r="O32" s="798">
        <v>78.42</v>
      </c>
      <c r="P32" s="799">
        <f t="shared" si="3"/>
        <v>80070.741000000009</v>
      </c>
      <c r="Q32" s="543">
        <f t="shared" si="0"/>
        <v>0</v>
      </c>
      <c r="R32" s="14">
        <v>1285</v>
      </c>
    </row>
    <row r="33" spans="1:18" ht="15">
      <c r="A33" s="99">
        <v>22</v>
      </c>
      <c r="B33" s="385" t="s">
        <v>910</v>
      </c>
      <c r="C33" s="99">
        <v>3507</v>
      </c>
      <c r="D33" s="745">
        <v>310108</v>
      </c>
      <c r="E33" s="100">
        <v>3408</v>
      </c>
      <c r="F33" s="787">
        <v>214967</v>
      </c>
      <c r="G33" s="100"/>
      <c r="H33" s="100"/>
      <c r="I33" s="169"/>
      <c r="J33" s="688"/>
      <c r="K33" s="603"/>
      <c r="L33" s="99"/>
      <c r="M33" s="798">
        <f t="shared" si="1"/>
        <v>97.177074422583416</v>
      </c>
      <c r="N33" s="798">
        <f t="shared" si="2"/>
        <v>69.320043339739698</v>
      </c>
      <c r="O33" s="798">
        <v>69.319999999999993</v>
      </c>
      <c r="P33" s="799">
        <f t="shared" si="3"/>
        <v>214966.86559999999</v>
      </c>
      <c r="Q33" s="543">
        <f t="shared" si="0"/>
        <v>0</v>
      </c>
      <c r="R33" s="14">
        <v>3672</v>
      </c>
    </row>
    <row r="34" spans="1:18" ht="15">
      <c r="A34" s="99">
        <v>23</v>
      </c>
      <c r="B34" s="385" t="s">
        <v>911</v>
      </c>
      <c r="C34" s="99">
        <v>1413</v>
      </c>
      <c r="D34" s="745">
        <v>136103</v>
      </c>
      <c r="E34" s="100">
        <v>1185</v>
      </c>
      <c r="F34" s="787">
        <v>95299</v>
      </c>
      <c r="G34" s="100"/>
      <c r="H34" s="100"/>
      <c r="I34" s="169"/>
      <c r="J34" s="688"/>
      <c r="K34" s="603"/>
      <c r="L34" s="99"/>
      <c r="M34" s="798">
        <f t="shared" si="1"/>
        <v>83.86411889596603</v>
      </c>
      <c r="N34" s="798">
        <f t="shared" si="2"/>
        <v>70.019764443105586</v>
      </c>
      <c r="O34" s="798">
        <v>70.02</v>
      </c>
      <c r="P34" s="799">
        <f t="shared" si="3"/>
        <v>95299.320599999992</v>
      </c>
      <c r="Q34" s="543">
        <f t="shared" si="0"/>
        <v>0</v>
      </c>
      <c r="R34" s="14">
        <v>1185</v>
      </c>
    </row>
    <row r="35" spans="1:18" ht="15">
      <c r="A35" s="99">
        <v>24</v>
      </c>
      <c r="B35" s="385" t="s">
        <v>912</v>
      </c>
      <c r="C35" s="99">
        <v>1146</v>
      </c>
      <c r="D35" s="745">
        <v>110475</v>
      </c>
      <c r="E35" s="100">
        <v>926</v>
      </c>
      <c r="F35" s="787">
        <v>98842</v>
      </c>
      <c r="G35" s="100"/>
      <c r="H35" s="100"/>
      <c r="I35" s="169"/>
      <c r="J35" s="688"/>
      <c r="K35" s="603"/>
      <c r="L35" s="99"/>
      <c r="M35" s="798">
        <f t="shared" si="1"/>
        <v>80.802792321116925</v>
      </c>
      <c r="N35" s="798">
        <f t="shared" si="2"/>
        <v>89.470015840687935</v>
      </c>
      <c r="O35" s="798">
        <v>89.47</v>
      </c>
      <c r="P35" s="799">
        <f t="shared" si="3"/>
        <v>98841.982499999998</v>
      </c>
      <c r="Q35" s="543">
        <f t="shared" si="0"/>
        <v>0</v>
      </c>
      <c r="R35" s="14">
        <v>926</v>
      </c>
    </row>
    <row r="36" spans="1:18" ht="15">
      <c r="A36" s="99">
        <v>25</v>
      </c>
      <c r="B36" s="385" t="s">
        <v>913</v>
      </c>
      <c r="C36" s="99">
        <v>3117</v>
      </c>
      <c r="D36" s="745">
        <v>276581</v>
      </c>
      <c r="E36" s="100">
        <v>2588</v>
      </c>
      <c r="F36" s="787">
        <v>218637</v>
      </c>
      <c r="G36" s="100"/>
      <c r="H36" s="100"/>
      <c r="I36" s="169"/>
      <c r="J36" s="688"/>
      <c r="K36" s="603"/>
      <c r="L36" s="99"/>
      <c r="M36" s="798">
        <f t="shared" si="1"/>
        <v>83.028553095925574</v>
      </c>
      <c r="N36" s="798">
        <f t="shared" si="2"/>
        <v>79.049898583055239</v>
      </c>
      <c r="O36" s="798">
        <v>79.05</v>
      </c>
      <c r="P36" s="799">
        <f t="shared" si="3"/>
        <v>218637.28049999999</v>
      </c>
      <c r="Q36" s="543">
        <f t="shared" si="0"/>
        <v>0</v>
      </c>
      <c r="R36" s="14">
        <v>2588</v>
      </c>
    </row>
    <row r="37" spans="1:18" ht="15">
      <c r="A37" s="99">
        <v>26</v>
      </c>
      <c r="B37" s="385" t="s">
        <v>914</v>
      </c>
      <c r="C37" s="99">
        <v>1811</v>
      </c>
      <c r="D37" s="745">
        <v>189627</v>
      </c>
      <c r="E37" s="100">
        <v>1551</v>
      </c>
      <c r="F37" s="787">
        <v>128264</v>
      </c>
      <c r="G37" s="100"/>
      <c r="H37" s="100"/>
      <c r="I37" s="169"/>
      <c r="J37" s="688"/>
      <c r="K37" s="603"/>
      <c r="L37" s="99"/>
      <c r="M37" s="798">
        <f t="shared" si="1"/>
        <v>85.643290999447814</v>
      </c>
      <c r="N37" s="798">
        <f t="shared" si="2"/>
        <v>67.640156728735889</v>
      </c>
      <c r="O37" s="798">
        <v>67.64</v>
      </c>
      <c r="P37" s="799">
        <f t="shared" si="3"/>
        <v>128263.7028</v>
      </c>
      <c r="Q37" s="543">
        <f t="shared" si="0"/>
        <v>0</v>
      </c>
      <c r="R37" s="14">
        <v>1551</v>
      </c>
    </row>
    <row r="38" spans="1:18" ht="15">
      <c r="A38" s="99">
        <v>27</v>
      </c>
      <c r="B38" s="385" t="s">
        <v>915</v>
      </c>
      <c r="C38" s="99">
        <v>1355</v>
      </c>
      <c r="D38" s="745">
        <v>128989</v>
      </c>
      <c r="E38" s="100">
        <v>950</v>
      </c>
      <c r="F38" s="787">
        <v>97400</v>
      </c>
      <c r="G38" s="100"/>
      <c r="H38" s="100"/>
      <c r="I38" s="169"/>
      <c r="J38" s="688"/>
      <c r="K38" s="603"/>
      <c r="L38" s="99"/>
      <c r="M38" s="798">
        <f t="shared" si="1"/>
        <v>70.110701107011081</v>
      </c>
      <c r="N38" s="798">
        <f t="shared" si="2"/>
        <v>75.510314833047772</v>
      </c>
      <c r="O38" s="798">
        <v>75.510000000000005</v>
      </c>
      <c r="P38" s="799">
        <f t="shared" si="3"/>
        <v>97399.593900000007</v>
      </c>
      <c r="Q38" s="543">
        <f t="shared" si="0"/>
        <v>0</v>
      </c>
      <c r="R38" s="14">
        <v>950</v>
      </c>
    </row>
    <row r="39" spans="1:18" ht="15">
      <c r="A39" s="99">
        <v>28</v>
      </c>
      <c r="B39" s="385" t="s">
        <v>916</v>
      </c>
      <c r="C39" s="99">
        <v>1687</v>
      </c>
      <c r="D39" s="745">
        <v>157737</v>
      </c>
      <c r="E39" s="100">
        <v>849</v>
      </c>
      <c r="F39" s="787">
        <v>96929</v>
      </c>
      <c r="G39" s="100"/>
      <c r="H39" s="100"/>
      <c r="I39" s="169"/>
      <c r="J39" s="688"/>
      <c r="K39" s="603"/>
      <c r="L39" s="99"/>
      <c r="M39" s="798">
        <f t="shared" si="1"/>
        <v>50.326022525192649</v>
      </c>
      <c r="N39" s="798">
        <f t="shared" si="2"/>
        <v>61.449754971883571</v>
      </c>
      <c r="O39" s="798">
        <v>61.45</v>
      </c>
      <c r="P39" s="799">
        <f t="shared" si="3"/>
        <v>96929.386500000008</v>
      </c>
      <c r="Q39" s="543">
        <f t="shared" si="0"/>
        <v>0</v>
      </c>
      <c r="R39" s="14">
        <v>849</v>
      </c>
    </row>
    <row r="40" spans="1:18" ht="15">
      <c r="A40" s="99">
        <v>29</v>
      </c>
      <c r="B40" s="385" t="s">
        <v>917</v>
      </c>
      <c r="C40" s="99">
        <v>1123</v>
      </c>
      <c r="D40" s="745">
        <v>113367</v>
      </c>
      <c r="E40" s="100">
        <v>888</v>
      </c>
      <c r="F40" s="787">
        <v>84991</v>
      </c>
      <c r="G40" s="100"/>
      <c r="H40" s="100"/>
      <c r="I40" s="169"/>
      <c r="J40" s="688"/>
      <c r="K40" s="603"/>
      <c r="L40" s="99"/>
      <c r="M40" s="798">
        <f t="shared" si="1"/>
        <v>79.073909171861089</v>
      </c>
      <c r="N40" s="798">
        <f t="shared" si="2"/>
        <v>74.969788386391102</v>
      </c>
      <c r="O40" s="798">
        <v>74.97</v>
      </c>
      <c r="P40" s="799">
        <f t="shared" si="3"/>
        <v>84991.2399</v>
      </c>
      <c r="Q40" s="543">
        <f t="shared" si="0"/>
        <v>0</v>
      </c>
      <c r="R40" s="14">
        <v>888</v>
      </c>
    </row>
    <row r="41" spans="1:18" ht="15">
      <c r="A41" s="99">
        <v>30</v>
      </c>
      <c r="B41" s="385" t="s">
        <v>918</v>
      </c>
      <c r="C41" s="99">
        <v>1945</v>
      </c>
      <c r="D41" s="745">
        <v>162794</v>
      </c>
      <c r="E41" s="100">
        <v>1640</v>
      </c>
      <c r="F41" s="787">
        <v>128461</v>
      </c>
      <c r="G41" s="100"/>
      <c r="H41" s="100"/>
      <c r="I41" s="169"/>
      <c r="J41" s="688"/>
      <c r="K41" s="603"/>
      <c r="L41" s="99"/>
      <c r="M41" s="798">
        <f t="shared" si="1"/>
        <v>84.318766066838052</v>
      </c>
      <c r="N41" s="798">
        <f t="shared" si="2"/>
        <v>78.910156393970297</v>
      </c>
      <c r="O41" s="798">
        <v>78.91</v>
      </c>
      <c r="P41" s="799">
        <f t="shared" si="3"/>
        <v>128460.74539999999</v>
      </c>
      <c r="Q41" s="543">
        <f t="shared" si="0"/>
        <v>0</v>
      </c>
      <c r="R41" s="14">
        <v>1640</v>
      </c>
    </row>
    <row r="42" spans="1:18" ht="15">
      <c r="A42" s="99">
        <v>31</v>
      </c>
      <c r="B42" s="385" t="s">
        <v>919</v>
      </c>
      <c r="C42" s="99">
        <v>929</v>
      </c>
      <c r="D42" s="745">
        <v>115337</v>
      </c>
      <c r="E42" s="100">
        <v>897</v>
      </c>
      <c r="F42" s="787">
        <v>90620</v>
      </c>
      <c r="G42" s="100"/>
      <c r="H42" s="100"/>
      <c r="I42" s="169"/>
      <c r="J42" s="688"/>
      <c r="K42" s="603"/>
      <c r="L42" s="99"/>
      <c r="M42" s="798">
        <f t="shared" si="1"/>
        <v>96.555435952637254</v>
      </c>
      <c r="N42" s="798">
        <f t="shared" si="2"/>
        <v>78.569756452829537</v>
      </c>
      <c r="O42" s="798">
        <v>78.569999999999993</v>
      </c>
      <c r="P42" s="799">
        <f t="shared" si="3"/>
        <v>90620.280899999998</v>
      </c>
      <c r="Q42" s="543">
        <f t="shared" si="0"/>
        <v>0</v>
      </c>
      <c r="R42" s="14">
        <v>897</v>
      </c>
    </row>
    <row r="43" spans="1:18" ht="15">
      <c r="A43" s="99">
        <v>32</v>
      </c>
      <c r="B43" s="385" t="s">
        <v>920</v>
      </c>
      <c r="C43" s="99">
        <v>1575</v>
      </c>
      <c r="D43" s="745">
        <v>118535</v>
      </c>
      <c r="E43" s="100">
        <v>1311</v>
      </c>
      <c r="F43" s="787">
        <v>69604</v>
      </c>
      <c r="G43" s="100"/>
      <c r="H43" s="100"/>
      <c r="I43" s="169"/>
      <c r="J43" s="688"/>
      <c r="K43" s="603"/>
      <c r="L43" s="99"/>
      <c r="M43" s="798">
        <f t="shared" si="1"/>
        <v>83.238095238095227</v>
      </c>
      <c r="N43" s="798">
        <f t="shared" si="2"/>
        <v>58.720209220905218</v>
      </c>
      <c r="O43" s="798">
        <v>58.72</v>
      </c>
      <c r="P43" s="799">
        <f t="shared" si="3"/>
        <v>69603.752000000008</v>
      </c>
      <c r="Q43" s="543">
        <f t="shared" si="0"/>
        <v>0</v>
      </c>
      <c r="R43" s="14">
        <v>1817</v>
      </c>
    </row>
    <row r="44" spans="1:18" ht="15">
      <c r="A44" s="99">
        <v>33</v>
      </c>
      <c r="B44" s="385" t="s">
        <v>921</v>
      </c>
      <c r="C44" s="99">
        <v>3973</v>
      </c>
      <c r="D44" s="745">
        <v>375893</v>
      </c>
      <c r="E44" s="100">
        <v>3973</v>
      </c>
      <c r="F44" s="787">
        <v>265869</v>
      </c>
      <c r="G44" s="100"/>
      <c r="H44" s="100"/>
      <c r="I44" s="169"/>
      <c r="J44" s="688"/>
      <c r="K44" s="603"/>
      <c r="L44" s="99"/>
      <c r="M44" s="798">
        <f t="shared" si="1"/>
        <v>100</v>
      </c>
      <c r="N44" s="798">
        <f t="shared" si="2"/>
        <v>70.729968368658106</v>
      </c>
      <c r="O44" s="798">
        <v>70.73</v>
      </c>
      <c r="P44" s="799">
        <f t="shared" si="3"/>
        <v>265869.1189</v>
      </c>
      <c r="Q44" s="543">
        <f t="shared" si="0"/>
        <v>0</v>
      </c>
      <c r="R44" s="14">
        <v>1311</v>
      </c>
    </row>
    <row r="45" spans="1:18">
      <c r="A45" s="96" t="s">
        <v>19</v>
      </c>
      <c r="B45" s="96"/>
      <c r="C45" s="96">
        <f>SUM(C12:C44)</f>
        <v>66493</v>
      </c>
      <c r="D45" s="96">
        <f>SUM(D12:D44)</f>
        <v>6265346</v>
      </c>
      <c r="E45" s="96">
        <f t="shared" ref="E45:F45" si="4">SUM(E12:E44)</f>
        <v>54728</v>
      </c>
      <c r="F45" s="96">
        <f t="shared" si="4"/>
        <v>4305886</v>
      </c>
      <c r="G45" s="100"/>
      <c r="H45" s="100"/>
      <c r="I45" s="169"/>
      <c r="J45" s="100"/>
      <c r="K45" s="687"/>
      <c r="L45" s="604"/>
      <c r="M45" s="752"/>
      <c r="N45" s="752"/>
      <c r="O45" s="752"/>
      <c r="P45" s="752"/>
      <c r="Q45" s="14">
        <f>SUM(Q11:Q44)</f>
        <v>0</v>
      </c>
      <c r="R45" s="14">
        <v>3973</v>
      </c>
    </row>
    <row r="46" spans="1:18">
      <c r="A46" s="101"/>
      <c r="B46" s="10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1:18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8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50" spans="1:16">
      <c r="A50" s="1048"/>
      <c r="B50" s="1048"/>
      <c r="C50" s="1048"/>
      <c r="D50" s="1048"/>
      <c r="E50" s="1048"/>
      <c r="F50" s="1048"/>
      <c r="G50" s="1048"/>
      <c r="H50" s="1048"/>
      <c r="I50" s="1048"/>
      <c r="J50" s="1048"/>
      <c r="K50" s="1048"/>
      <c r="L50" s="1048"/>
      <c r="M50" s="749"/>
      <c r="N50" s="793"/>
      <c r="O50" s="793"/>
      <c r="P50" s="793"/>
    </row>
    <row r="51" spans="1:16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5.75">
      <c r="A52" s="104" t="s">
        <v>12</v>
      </c>
      <c r="B52" s="104"/>
      <c r="C52" s="104"/>
      <c r="D52" s="104"/>
      <c r="E52" s="104"/>
      <c r="F52" s="104"/>
      <c r="G52" s="104"/>
      <c r="H52" s="104"/>
      <c r="I52" s="1042"/>
      <c r="J52" s="1042"/>
      <c r="K52" s="92"/>
      <c r="L52" s="92"/>
      <c r="M52" s="92"/>
      <c r="N52" s="92"/>
      <c r="O52" s="92"/>
      <c r="P52" s="92"/>
    </row>
    <row r="53" spans="1:16" ht="15.75" customHeight="1">
      <c r="A53" s="894" t="s">
        <v>14</v>
      </c>
      <c r="B53" s="894"/>
      <c r="C53" s="894"/>
      <c r="D53" s="894"/>
      <c r="E53" s="894"/>
      <c r="F53" s="894"/>
      <c r="G53" s="894"/>
      <c r="H53" s="894"/>
      <c r="I53" s="894"/>
      <c r="J53" s="894"/>
      <c r="K53" s="92"/>
      <c r="L53" s="92"/>
      <c r="M53" s="92"/>
      <c r="N53" s="92"/>
      <c r="O53" s="92"/>
      <c r="P53" s="92"/>
    </row>
    <row r="54" spans="1:16" ht="15.6" customHeight="1">
      <c r="A54" s="894" t="s">
        <v>15</v>
      </c>
      <c r="B54" s="894"/>
      <c r="C54" s="894"/>
      <c r="D54" s="894"/>
      <c r="E54" s="894"/>
      <c r="F54" s="894"/>
      <c r="G54" s="894"/>
      <c r="H54" s="894"/>
      <c r="I54" s="894"/>
      <c r="J54" s="894"/>
      <c r="K54" s="92"/>
      <c r="L54" s="92"/>
      <c r="M54" s="92"/>
      <c r="N54" s="92"/>
      <c r="O54" s="92"/>
      <c r="P54" s="92"/>
    </row>
    <row r="55" spans="1:16">
      <c r="A55" s="92"/>
      <c r="B55" s="92"/>
      <c r="C55" s="92"/>
      <c r="D55" s="92"/>
      <c r="E55" s="92"/>
      <c r="F55" s="92"/>
      <c r="I55" s="36" t="s">
        <v>87</v>
      </c>
      <c r="J55" s="36"/>
      <c r="K55" s="36"/>
      <c r="L55" s="36"/>
      <c r="M55" s="36"/>
      <c r="N55" s="36"/>
      <c r="O55" s="36"/>
      <c r="P55" s="36"/>
    </row>
  </sheetData>
  <mergeCells count="19">
    <mergeCell ref="A54:J54"/>
    <mergeCell ref="B9:B10"/>
    <mergeCell ref="A9:A10"/>
    <mergeCell ref="C9:C10"/>
    <mergeCell ref="A2:H2"/>
    <mergeCell ref="A3:H3"/>
    <mergeCell ref="A50:H50"/>
    <mergeCell ref="I50:L50"/>
    <mergeCell ref="A7:B7"/>
    <mergeCell ref="A5:L5"/>
    <mergeCell ref="K1:L1"/>
    <mergeCell ref="A53:J53"/>
    <mergeCell ref="I52:J52"/>
    <mergeCell ref="G9:H9"/>
    <mergeCell ref="D9:D10"/>
    <mergeCell ref="E9:F9"/>
    <mergeCell ref="I9:J9"/>
    <mergeCell ref="K9:L9"/>
    <mergeCell ref="K8:L8"/>
  </mergeCells>
  <printOptions horizontalCentered="1"/>
  <pageMargins left="0.70866141732283505" right="0.70866141732283505" top="0.23622047244094499" bottom="0" header="0.31496062992126" footer="0.31496062992126"/>
  <pageSetup paperSize="9" scale="60" orientation="landscape" r:id="rId1"/>
  <colBreaks count="1" manualBreakCount="1">
    <brk id="16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52"/>
  <sheetViews>
    <sheetView view="pageBreakPreview" topLeftCell="A13" zoomScaleSheetLayoutView="100" workbookViewId="0">
      <selection activeCell="H47" sqref="H47"/>
    </sheetView>
  </sheetViews>
  <sheetFormatPr defaultColWidth="8.85546875" defaultRowHeight="12.75"/>
  <cols>
    <col min="1" max="1" width="11.140625" style="92" customWidth="1"/>
    <col min="2" max="2" width="20.42578125" style="92" customWidth="1"/>
    <col min="3" max="3" width="20.5703125" style="92" customWidth="1"/>
    <col min="4" max="4" width="22.28515625" style="92" customWidth="1"/>
    <col min="5" max="5" width="25.42578125" style="92" customWidth="1"/>
    <col min="6" max="6" width="27.42578125" style="92" customWidth="1"/>
    <col min="7" max="16384" width="8.85546875" style="92"/>
  </cols>
  <sheetData>
    <row r="1" spans="1:8" ht="12.75" customHeight="1">
      <c r="D1" s="306"/>
      <c r="E1" s="306"/>
      <c r="F1" s="307" t="s">
        <v>104</v>
      </c>
    </row>
    <row r="2" spans="1:8" ht="15" customHeight="1">
      <c r="B2" s="1047" t="s">
        <v>0</v>
      </c>
      <c r="C2" s="1047"/>
      <c r="D2" s="1047"/>
      <c r="E2" s="1047"/>
      <c r="F2" s="1047"/>
    </row>
    <row r="3" spans="1:8" ht="20.25">
      <c r="B3" s="912" t="s">
        <v>705</v>
      </c>
      <c r="C3" s="912"/>
      <c r="D3" s="912"/>
      <c r="E3" s="912"/>
      <c r="F3" s="912"/>
    </row>
    <row r="4" spans="1:8" ht="11.25" customHeight="1"/>
    <row r="5" spans="1:8">
      <c r="A5" s="1050" t="s">
        <v>447</v>
      </c>
      <c r="B5" s="1050"/>
      <c r="C5" s="1050"/>
      <c r="D5" s="1050"/>
      <c r="E5" s="1050"/>
      <c r="F5" s="1050"/>
    </row>
    <row r="6" spans="1:8" ht="8.4499999999999993" customHeight="1">
      <c r="A6" s="94"/>
      <c r="B6" s="94"/>
      <c r="C6" s="94"/>
      <c r="D6" s="94"/>
      <c r="E6" s="94"/>
      <c r="F6" s="94"/>
    </row>
    <row r="7" spans="1:8" ht="18" customHeight="1">
      <c r="A7" s="850" t="s">
        <v>922</v>
      </c>
      <c r="B7" s="850"/>
    </row>
    <row r="8" spans="1:8" ht="18" hidden="1" customHeight="1">
      <c r="A8" s="95" t="s">
        <v>1</v>
      </c>
    </row>
    <row r="9" spans="1:8" ht="30.6" customHeight="1">
      <c r="A9" s="1045" t="s">
        <v>2</v>
      </c>
      <c r="B9" s="1045" t="s">
        <v>3</v>
      </c>
      <c r="C9" s="1051" t="s">
        <v>443</v>
      </c>
      <c r="D9" s="1052"/>
      <c r="E9" s="1053" t="s">
        <v>446</v>
      </c>
      <c r="F9" s="1053"/>
    </row>
    <row r="10" spans="1:8" s="105" customFormat="1" ht="25.5">
      <c r="A10" s="1045"/>
      <c r="B10" s="1045"/>
      <c r="C10" s="97" t="s">
        <v>444</v>
      </c>
      <c r="D10" s="97" t="s">
        <v>445</v>
      </c>
      <c r="E10" s="97" t="s">
        <v>444</v>
      </c>
      <c r="F10" s="97" t="s">
        <v>445</v>
      </c>
      <c r="G10" s="129"/>
    </row>
    <row r="11" spans="1:8" s="177" customFormat="1">
      <c r="A11" s="362">
        <v>1</v>
      </c>
      <c r="B11" s="362">
        <v>2</v>
      </c>
      <c r="C11" s="362">
        <v>3</v>
      </c>
      <c r="D11" s="362">
        <v>4</v>
      </c>
      <c r="E11" s="362">
        <v>5</v>
      </c>
      <c r="F11" s="362">
        <v>6</v>
      </c>
    </row>
    <row r="12" spans="1:8">
      <c r="A12" s="99">
        <v>1</v>
      </c>
      <c r="B12" s="19" t="s">
        <v>889</v>
      </c>
      <c r="C12" s="99">
        <v>726</v>
      </c>
      <c r="D12" s="99">
        <v>726</v>
      </c>
      <c r="E12" s="99">
        <v>1165</v>
      </c>
      <c r="F12" s="99">
        <v>1165</v>
      </c>
      <c r="G12" s="92">
        <v>726</v>
      </c>
      <c r="H12" s="92">
        <v>1165</v>
      </c>
    </row>
    <row r="13" spans="1:8">
      <c r="A13" s="99">
        <v>2</v>
      </c>
      <c r="B13" s="19" t="s">
        <v>890</v>
      </c>
      <c r="C13" s="99">
        <v>1074</v>
      </c>
      <c r="D13" s="99">
        <v>1074</v>
      </c>
      <c r="E13" s="99">
        <v>1799</v>
      </c>
      <c r="F13" s="99">
        <v>1799</v>
      </c>
      <c r="G13" s="92">
        <v>1074</v>
      </c>
      <c r="H13" s="92">
        <v>1799</v>
      </c>
    </row>
    <row r="14" spans="1:8">
      <c r="A14" s="99">
        <v>3</v>
      </c>
      <c r="B14" s="19" t="s">
        <v>891</v>
      </c>
      <c r="C14" s="99">
        <v>1722</v>
      </c>
      <c r="D14" s="99">
        <v>1722</v>
      </c>
      <c r="E14" s="99">
        <v>961</v>
      </c>
      <c r="F14" s="99">
        <v>961</v>
      </c>
      <c r="G14" s="92">
        <v>1722</v>
      </c>
      <c r="H14" s="92">
        <v>961</v>
      </c>
    </row>
    <row r="15" spans="1:8">
      <c r="A15" s="99">
        <v>4</v>
      </c>
      <c r="B15" s="19" t="s">
        <v>892</v>
      </c>
      <c r="C15" s="99">
        <v>613</v>
      </c>
      <c r="D15" s="99">
        <v>613</v>
      </c>
      <c r="E15" s="99">
        <v>702</v>
      </c>
      <c r="F15" s="99">
        <v>702</v>
      </c>
      <c r="G15" s="92">
        <v>613</v>
      </c>
      <c r="H15" s="92">
        <v>702</v>
      </c>
    </row>
    <row r="16" spans="1:8">
      <c r="A16" s="99">
        <v>5</v>
      </c>
      <c r="B16" s="19" t="s">
        <v>893</v>
      </c>
      <c r="C16" s="99">
        <v>3049</v>
      </c>
      <c r="D16" s="99">
        <v>3049</v>
      </c>
      <c r="E16" s="99">
        <v>1853</v>
      </c>
      <c r="F16" s="99">
        <v>1853</v>
      </c>
      <c r="G16" s="92">
        <v>3049</v>
      </c>
      <c r="H16" s="92">
        <v>1853</v>
      </c>
    </row>
    <row r="17" spans="1:8">
      <c r="A17" s="99">
        <v>6</v>
      </c>
      <c r="B17" s="19" t="s">
        <v>894</v>
      </c>
      <c r="C17" s="99">
        <v>639</v>
      </c>
      <c r="D17" s="99">
        <v>639</v>
      </c>
      <c r="E17" s="99">
        <v>1109</v>
      </c>
      <c r="F17" s="99">
        <v>1109</v>
      </c>
      <c r="G17" s="92">
        <v>639</v>
      </c>
      <c r="H17" s="92">
        <v>1109</v>
      </c>
    </row>
    <row r="18" spans="1:8">
      <c r="A18" s="99">
        <v>7</v>
      </c>
      <c r="B18" s="19" t="s">
        <v>895</v>
      </c>
      <c r="C18" s="99">
        <v>1415</v>
      </c>
      <c r="D18" s="99">
        <v>1415</v>
      </c>
      <c r="E18" s="99">
        <v>1496</v>
      </c>
      <c r="F18" s="99">
        <v>1496</v>
      </c>
      <c r="G18" s="92">
        <v>1415</v>
      </c>
      <c r="H18" s="92">
        <v>1496</v>
      </c>
    </row>
    <row r="19" spans="1:8">
      <c r="A19" s="99">
        <v>8</v>
      </c>
      <c r="B19" s="19" t="s">
        <v>896</v>
      </c>
      <c r="C19" s="99">
        <v>1110</v>
      </c>
      <c r="D19" s="99">
        <v>1110</v>
      </c>
      <c r="E19" s="99">
        <v>865</v>
      </c>
      <c r="F19" s="99">
        <v>865</v>
      </c>
      <c r="G19" s="92">
        <v>1110</v>
      </c>
      <c r="H19" s="92">
        <v>865</v>
      </c>
    </row>
    <row r="20" spans="1:8">
      <c r="A20" s="99">
        <v>9</v>
      </c>
      <c r="B20" s="19" t="s">
        <v>897</v>
      </c>
      <c r="C20" s="99">
        <v>640</v>
      </c>
      <c r="D20" s="99">
        <v>640</v>
      </c>
      <c r="E20" s="99">
        <v>640</v>
      </c>
      <c r="F20" s="99">
        <v>640</v>
      </c>
      <c r="G20" s="92">
        <v>640</v>
      </c>
      <c r="H20" s="92">
        <v>640</v>
      </c>
    </row>
    <row r="21" spans="1:8">
      <c r="A21" s="99">
        <v>10</v>
      </c>
      <c r="B21" s="19" t="s">
        <v>898</v>
      </c>
      <c r="C21" s="99">
        <v>787</v>
      </c>
      <c r="D21" s="99">
        <v>787</v>
      </c>
      <c r="E21" s="99">
        <v>1045</v>
      </c>
      <c r="F21" s="99">
        <v>1045</v>
      </c>
      <c r="G21" s="92">
        <v>787</v>
      </c>
      <c r="H21" s="92">
        <v>1045</v>
      </c>
    </row>
    <row r="22" spans="1:8">
      <c r="A22" s="99">
        <v>11</v>
      </c>
      <c r="B22" s="19" t="s">
        <v>899</v>
      </c>
      <c r="C22" s="99">
        <v>390</v>
      </c>
      <c r="D22" s="99">
        <v>390</v>
      </c>
      <c r="E22" s="99">
        <v>1024</v>
      </c>
      <c r="F22" s="99">
        <v>1024</v>
      </c>
      <c r="G22" s="92">
        <v>390</v>
      </c>
      <c r="H22" s="92">
        <v>1024</v>
      </c>
    </row>
    <row r="23" spans="1:8">
      <c r="A23" s="99">
        <v>12</v>
      </c>
      <c r="B23" s="19" t="s">
        <v>900</v>
      </c>
      <c r="C23" s="99">
        <v>706</v>
      </c>
      <c r="D23" s="99">
        <v>706</v>
      </c>
      <c r="E23" s="99">
        <v>828</v>
      </c>
      <c r="F23" s="99">
        <v>828</v>
      </c>
      <c r="G23" s="92">
        <v>706</v>
      </c>
      <c r="H23" s="92">
        <v>828</v>
      </c>
    </row>
    <row r="24" spans="1:8">
      <c r="A24" s="99">
        <v>13</v>
      </c>
      <c r="B24" s="19" t="s">
        <v>901</v>
      </c>
      <c r="C24" s="99">
        <v>571</v>
      </c>
      <c r="D24" s="99">
        <v>571</v>
      </c>
      <c r="E24" s="99">
        <v>579</v>
      </c>
      <c r="F24" s="99">
        <v>579</v>
      </c>
      <c r="G24" s="92">
        <v>571</v>
      </c>
      <c r="H24" s="92">
        <v>579</v>
      </c>
    </row>
    <row r="25" spans="1:8">
      <c r="A25" s="99">
        <v>14</v>
      </c>
      <c r="B25" s="19" t="s">
        <v>902</v>
      </c>
      <c r="C25" s="99">
        <v>1430</v>
      </c>
      <c r="D25" s="99">
        <v>1430</v>
      </c>
      <c r="E25" s="99">
        <v>809</v>
      </c>
      <c r="F25" s="99">
        <v>809</v>
      </c>
      <c r="G25" s="92">
        <v>1430</v>
      </c>
      <c r="H25" s="92">
        <v>809</v>
      </c>
    </row>
    <row r="26" spans="1:8">
      <c r="A26" s="99">
        <v>15</v>
      </c>
      <c r="B26" s="19" t="s">
        <v>903</v>
      </c>
      <c r="C26" s="99">
        <v>880</v>
      </c>
      <c r="D26" s="99">
        <v>880</v>
      </c>
      <c r="E26" s="99">
        <v>1044</v>
      </c>
      <c r="F26" s="99">
        <v>1044</v>
      </c>
      <c r="G26" s="92">
        <v>880</v>
      </c>
      <c r="H26" s="92">
        <v>1044</v>
      </c>
    </row>
    <row r="27" spans="1:8">
      <c r="A27" s="99">
        <v>16</v>
      </c>
      <c r="B27" s="19" t="s">
        <v>904</v>
      </c>
      <c r="C27" s="99">
        <v>327</v>
      </c>
      <c r="D27" s="99">
        <v>327</v>
      </c>
      <c r="E27" s="99">
        <v>767</v>
      </c>
      <c r="F27" s="99">
        <v>767</v>
      </c>
      <c r="G27" s="92">
        <v>327</v>
      </c>
      <c r="H27" s="92">
        <v>767</v>
      </c>
    </row>
    <row r="28" spans="1:8">
      <c r="A28" s="99">
        <v>17</v>
      </c>
      <c r="B28" s="19" t="s">
        <v>905</v>
      </c>
      <c r="C28" s="99">
        <v>1484</v>
      </c>
      <c r="D28" s="99">
        <v>1484</v>
      </c>
      <c r="E28" s="99">
        <v>2167</v>
      </c>
      <c r="F28" s="99">
        <v>2167</v>
      </c>
      <c r="G28" s="92">
        <v>1484</v>
      </c>
      <c r="H28" s="92">
        <v>2167</v>
      </c>
    </row>
    <row r="29" spans="1:8">
      <c r="A29" s="99">
        <v>18</v>
      </c>
      <c r="B29" s="19" t="s">
        <v>906</v>
      </c>
      <c r="C29" s="99">
        <v>808</v>
      </c>
      <c r="D29" s="99">
        <v>808</v>
      </c>
      <c r="E29" s="99">
        <v>472</v>
      </c>
      <c r="F29" s="99">
        <v>472</v>
      </c>
      <c r="G29" s="92">
        <v>808</v>
      </c>
      <c r="H29" s="92">
        <v>472</v>
      </c>
    </row>
    <row r="30" spans="1:8">
      <c r="A30" s="99">
        <v>19</v>
      </c>
      <c r="B30" s="19" t="s">
        <v>907</v>
      </c>
      <c r="C30" s="99">
        <v>986</v>
      </c>
      <c r="D30" s="99">
        <v>986</v>
      </c>
      <c r="E30" s="99">
        <v>922</v>
      </c>
      <c r="F30" s="99">
        <v>922</v>
      </c>
      <c r="G30" s="92">
        <v>986</v>
      </c>
      <c r="H30" s="92">
        <v>922</v>
      </c>
    </row>
    <row r="31" spans="1:8">
      <c r="A31" s="99">
        <v>20</v>
      </c>
      <c r="B31" s="19" t="s">
        <v>908</v>
      </c>
      <c r="C31" s="99">
        <v>818</v>
      </c>
      <c r="D31" s="99">
        <v>818</v>
      </c>
      <c r="E31" s="99">
        <v>936</v>
      </c>
      <c r="F31" s="99">
        <v>936</v>
      </c>
      <c r="G31" s="92">
        <v>818</v>
      </c>
      <c r="H31" s="92">
        <v>936</v>
      </c>
    </row>
    <row r="32" spans="1:8">
      <c r="A32" s="99">
        <v>21</v>
      </c>
      <c r="B32" s="19" t="s">
        <v>909</v>
      </c>
      <c r="C32" s="99">
        <v>505</v>
      </c>
      <c r="D32" s="99">
        <v>505</v>
      </c>
      <c r="E32" s="99">
        <v>1049</v>
      </c>
      <c r="F32" s="99">
        <v>1049</v>
      </c>
      <c r="G32" s="92">
        <v>505</v>
      </c>
      <c r="H32" s="92">
        <v>1049</v>
      </c>
    </row>
    <row r="33" spans="1:8">
      <c r="A33" s="99">
        <v>22</v>
      </c>
      <c r="B33" s="19" t="s">
        <v>910</v>
      </c>
      <c r="C33" s="99">
        <v>2009</v>
      </c>
      <c r="D33" s="99">
        <v>2009</v>
      </c>
      <c r="E33" s="99">
        <v>1498</v>
      </c>
      <c r="F33" s="99">
        <v>1498</v>
      </c>
      <c r="G33" s="92">
        <v>2009</v>
      </c>
      <c r="H33" s="92">
        <v>1498</v>
      </c>
    </row>
    <row r="34" spans="1:8">
      <c r="A34" s="99">
        <v>23</v>
      </c>
      <c r="B34" s="19" t="s">
        <v>911</v>
      </c>
      <c r="C34" s="99">
        <v>715</v>
      </c>
      <c r="D34" s="99">
        <v>715</v>
      </c>
      <c r="E34" s="99">
        <v>698</v>
      </c>
      <c r="F34" s="99">
        <v>698</v>
      </c>
      <c r="G34" s="92">
        <v>715</v>
      </c>
      <c r="H34" s="92">
        <v>698</v>
      </c>
    </row>
    <row r="35" spans="1:8">
      <c r="A35" s="99">
        <v>24</v>
      </c>
      <c r="B35" s="19" t="s">
        <v>912</v>
      </c>
      <c r="C35" s="99">
        <v>428</v>
      </c>
      <c r="D35" s="99">
        <v>428</v>
      </c>
      <c r="E35" s="99">
        <v>718</v>
      </c>
      <c r="F35" s="99">
        <v>718</v>
      </c>
      <c r="G35" s="92">
        <v>428</v>
      </c>
      <c r="H35" s="92">
        <v>718</v>
      </c>
    </row>
    <row r="36" spans="1:8">
      <c r="A36" s="99">
        <v>25</v>
      </c>
      <c r="B36" s="19" t="s">
        <v>913</v>
      </c>
      <c r="C36" s="99">
        <v>1409</v>
      </c>
      <c r="D36" s="99">
        <v>1409</v>
      </c>
      <c r="E36" s="99">
        <v>1708</v>
      </c>
      <c r="F36" s="99">
        <v>1708</v>
      </c>
      <c r="G36" s="92">
        <v>1409</v>
      </c>
      <c r="H36" s="92">
        <v>1708</v>
      </c>
    </row>
    <row r="37" spans="1:8">
      <c r="A37" s="99">
        <v>26</v>
      </c>
      <c r="B37" s="19" t="s">
        <v>914</v>
      </c>
      <c r="C37" s="99">
        <v>604</v>
      </c>
      <c r="D37" s="99">
        <v>604</v>
      </c>
      <c r="E37" s="99">
        <v>1207</v>
      </c>
      <c r="F37" s="99">
        <v>1207</v>
      </c>
      <c r="G37" s="92">
        <v>604</v>
      </c>
      <c r="H37" s="92">
        <v>1207</v>
      </c>
    </row>
    <row r="38" spans="1:8">
      <c r="A38" s="99">
        <v>27</v>
      </c>
      <c r="B38" s="19" t="s">
        <v>915</v>
      </c>
      <c r="C38" s="99">
        <v>841</v>
      </c>
      <c r="D38" s="99">
        <v>841</v>
      </c>
      <c r="E38" s="99">
        <v>514</v>
      </c>
      <c r="F38" s="99">
        <v>514</v>
      </c>
      <c r="G38" s="92">
        <v>841</v>
      </c>
      <c r="H38" s="92">
        <v>514</v>
      </c>
    </row>
    <row r="39" spans="1:8">
      <c r="A39" s="99">
        <v>28</v>
      </c>
      <c r="B39" s="19" t="s">
        <v>916</v>
      </c>
      <c r="C39" s="99">
        <v>849</v>
      </c>
      <c r="D39" s="99">
        <v>849</v>
      </c>
      <c r="E39" s="99">
        <v>838</v>
      </c>
      <c r="F39" s="99">
        <v>838</v>
      </c>
      <c r="G39" s="92">
        <v>849</v>
      </c>
      <c r="H39" s="92">
        <v>838</v>
      </c>
    </row>
    <row r="40" spans="1:8">
      <c r="A40" s="99">
        <v>29</v>
      </c>
      <c r="B40" s="19" t="s">
        <v>917</v>
      </c>
      <c r="C40" s="99">
        <v>509</v>
      </c>
      <c r="D40" s="99">
        <v>509</v>
      </c>
      <c r="E40" s="99">
        <v>614</v>
      </c>
      <c r="F40" s="99">
        <v>614</v>
      </c>
      <c r="G40" s="92">
        <v>509</v>
      </c>
      <c r="H40" s="92">
        <v>614</v>
      </c>
    </row>
    <row r="41" spans="1:8">
      <c r="A41" s="99">
        <v>30</v>
      </c>
      <c r="B41" s="19" t="s">
        <v>918</v>
      </c>
      <c r="C41" s="99">
        <v>617</v>
      </c>
      <c r="D41" s="99">
        <v>617</v>
      </c>
      <c r="E41" s="99">
        <v>1328</v>
      </c>
      <c r="F41" s="99">
        <v>1328</v>
      </c>
      <c r="G41" s="92">
        <v>617</v>
      </c>
      <c r="H41" s="92">
        <v>1328</v>
      </c>
    </row>
    <row r="42" spans="1:8">
      <c r="A42" s="99">
        <v>31</v>
      </c>
      <c r="B42" s="19" t="s">
        <v>919</v>
      </c>
      <c r="C42" s="99">
        <v>466</v>
      </c>
      <c r="D42" s="99">
        <v>466</v>
      </c>
      <c r="E42" s="99">
        <v>463</v>
      </c>
      <c r="F42" s="99">
        <v>463</v>
      </c>
      <c r="G42" s="92">
        <v>466</v>
      </c>
      <c r="H42" s="92">
        <v>463</v>
      </c>
    </row>
    <row r="43" spans="1:8">
      <c r="A43" s="99">
        <v>32</v>
      </c>
      <c r="B43" s="19" t="s">
        <v>920</v>
      </c>
      <c r="C43" s="99">
        <v>730</v>
      </c>
      <c r="D43" s="99">
        <v>730</v>
      </c>
      <c r="E43" s="99">
        <v>845</v>
      </c>
      <c r="F43" s="99">
        <v>845</v>
      </c>
      <c r="G43" s="92">
        <v>730</v>
      </c>
      <c r="H43" s="92">
        <v>845</v>
      </c>
    </row>
    <row r="44" spans="1:8">
      <c r="A44" s="99">
        <v>33</v>
      </c>
      <c r="B44" s="19" t="s">
        <v>921</v>
      </c>
      <c r="C44" s="99">
        <v>2453</v>
      </c>
      <c r="D44" s="99">
        <v>2453</v>
      </c>
      <c r="E44" s="99">
        <v>1520</v>
      </c>
      <c r="F44" s="99">
        <v>1520</v>
      </c>
      <c r="G44" s="92">
        <v>2453</v>
      </c>
      <c r="H44" s="92">
        <v>1520</v>
      </c>
    </row>
    <row r="45" spans="1:8">
      <c r="A45" s="96" t="s">
        <v>19</v>
      </c>
      <c r="B45" s="100"/>
      <c r="C45" s="99">
        <f>SUM(C12:C44)</f>
        <v>32310</v>
      </c>
      <c r="D45" s="99">
        <f t="shared" ref="D45" si="0">C45</f>
        <v>32310</v>
      </c>
      <c r="E45" s="99">
        <f t="shared" ref="E45:F45" si="1">SUM(E12:E44)</f>
        <v>34183</v>
      </c>
      <c r="F45" s="99">
        <f t="shared" si="1"/>
        <v>34183</v>
      </c>
    </row>
    <row r="46" spans="1:8">
      <c r="A46" s="102"/>
      <c r="B46" s="103"/>
      <c r="C46" s="103"/>
      <c r="D46" s="103"/>
      <c r="E46" s="103"/>
      <c r="F46" s="103"/>
    </row>
    <row r="47" spans="1:8">
      <c r="H47" s="92">
        <f>D45+F45</f>
        <v>66493</v>
      </c>
    </row>
    <row r="48" spans="1:8" ht="15.75" customHeight="1">
      <c r="A48" s="104" t="s">
        <v>12</v>
      </c>
      <c r="B48" s="104"/>
      <c r="C48" s="104"/>
      <c r="D48" s="104"/>
      <c r="E48" s="104"/>
      <c r="F48" s="104"/>
    </row>
    <row r="49" spans="1:6" ht="15.6" customHeight="1">
      <c r="A49" s="894" t="s">
        <v>14</v>
      </c>
      <c r="B49" s="894"/>
      <c r="C49" s="894"/>
      <c r="D49" s="894"/>
      <c r="E49" s="894"/>
      <c r="F49" s="894"/>
    </row>
    <row r="50" spans="1:6" ht="15.75">
      <c r="A50" s="894" t="s">
        <v>15</v>
      </c>
      <c r="B50" s="894"/>
      <c r="C50" s="894"/>
      <c r="D50" s="894"/>
      <c r="E50" s="894"/>
      <c r="F50" s="894"/>
    </row>
    <row r="52" spans="1:6">
      <c r="A52" s="1049"/>
      <c r="B52" s="1049"/>
      <c r="C52" s="1049"/>
      <c r="D52" s="1049"/>
      <c r="E52" s="1049"/>
      <c r="F52" s="1049"/>
    </row>
  </sheetData>
  <mergeCells count="11">
    <mergeCell ref="A50:F50"/>
    <mergeCell ref="A52:F52"/>
    <mergeCell ref="A49:F49"/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57"/>
  <sheetViews>
    <sheetView view="pageBreakPreview" topLeftCell="A22" zoomScaleNormal="85" zoomScaleSheetLayoutView="100" workbookViewId="0">
      <selection activeCell="A49" sqref="A49:D49"/>
    </sheetView>
  </sheetViews>
  <sheetFormatPr defaultRowHeight="12.75"/>
  <cols>
    <col min="2" max="2" width="15.28515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>
      <c r="A1" s="92"/>
      <c r="B1" s="92"/>
      <c r="C1" s="92"/>
      <c r="D1" s="986"/>
      <c r="E1" s="986"/>
      <c r="F1" s="41"/>
      <c r="G1" s="986" t="s">
        <v>449</v>
      </c>
      <c r="H1" s="986"/>
      <c r="I1" s="986"/>
      <c r="J1" s="986"/>
      <c r="K1" s="106"/>
      <c r="L1" s="92"/>
      <c r="M1" s="92"/>
    </row>
    <row r="2" spans="1:13" ht="15.75">
      <c r="A2" s="1047" t="s">
        <v>0</v>
      </c>
      <c r="B2" s="1047"/>
      <c r="C2" s="1047"/>
      <c r="D2" s="1047"/>
      <c r="E2" s="1047"/>
      <c r="F2" s="1047"/>
      <c r="G2" s="1047"/>
      <c r="H2" s="1047"/>
      <c r="I2" s="1047"/>
      <c r="J2" s="1047"/>
      <c r="K2" s="92"/>
      <c r="L2" s="92"/>
      <c r="M2" s="92"/>
    </row>
    <row r="3" spans="1:13" ht="18">
      <c r="A3" s="139"/>
      <c r="B3" s="139"/>
      <c r="C3" s="1059" t="s">
        <v>705</v>
      </c>
      <c r="D3" s="1059"/>
      <c r="E3" s="1059"/>
      <c r="F3" s="1059"/>
      <c r="G3" s="1059"/>
      <c r="H3" s="1059"/>
      <c r="I3" s="1059"/>
      <c r="J3" s="139"/>
      <c r="K3" s="92"/>
      <c r="L3" s="92"/>
      <c r="M3" s="92"/>
    </row>
    <row r="4" spans="1:13" ht="15.75">
      <c r="A4" s="913" t="s">
        <v>448</v>
      </c>
      <c r="B4" s="913"/>
      <c r="C4" s="913"/>
      <c r="D4" s="913"/>
      <c r="E4" s="913"/>
      <c r="F4" s="913"/>
      <c r="G4" s="913"/>
      <c r="H4" s="913"/>
      <c r="I4" s="913"/>
      <c r="J4" s="913"/>
      <c r="K4" s="92"/>
      <c r="L4" s="92"/>
      <c r="M4" s="92"/>
    </row>
    <row r="5" spans="1:13" ht="15.75">
      <c r="A5" s="850" t="s">
        <v>922</v>
      </c>
      <c r="B5" s="850"/>
      <c r="C5" s="94"/>
      <c r="D5" s="94"/>
      <c r="E5" s="94"/>
      <c r="F5" s="94"/>
      <c r="G5" s="94"/>
      <c r="H5" s="94"/>
      <c r="I5" s="94"/>
      <c r="J5" s="94"/>
      <c r="K5" s="92"/>
      <c r="L5" s="92"/>
      <c r="M5" s="92"/>
    </row>
    <row r="6" spans="1:13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8">
      <c r="A7" s="95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21.75" customHeight="1">
      <c r="A8" s="1054" t="s">
        <v>2</v>
      </c>
      <c r="B8" s="1054" t="s">
        <v>3</v>
      </c>
      <c r="C8" s="1056" t="s">
        <v>143</v>
      </c>
      <c r="D8" s="1057"/>
      <c r="E8" s="1057"/>
      <c r="F8" s="1057"/>
      <c r="G8" s="1057"/>
      <c r="H8" s="1057"/>
      <c r="I8" s="1057"/>
      <c r="J8" s="1058"/>
      <c r="K8" s="92"/>
      <c r="L8" s="92"/>
      <c r="M8" s="92"/>
    </row>
    <row r="9" spans="1:13" ht="39.75" customHeight="1">
      <c r="A9" s="1055"/>
      <c r="B9" s="1055"/>
      <c r="C9" s="97" t="s">
        <v>200</v>
      </c>
      <c r="D9" s="97" t="s">
        <v>123</v>
      </c>
      <c r="E9" s="97" t="s">
        <v>389</v>
      </c>
      <c r="F9" s="146" t="s">
        <v>169</v>
      </c>
      <c r="G9" s="146" t="s">
        <v>124</v>
      </c>
      <c r="H9" s="168" t="s">
        <v>199</v>
      </c>
      <c r="I9" s="168" t="s">
        <v>871</v>
      </c>
      <c r="J9" s="98" t="s">
        <v>19</v>
      </c>
      <c r="K9" s="105"/>
      <c r="L9" s="105"/>
      <c r="M9" s="105"/>
    </row>
    <row r="10" spans="1:13" s="14" customFormat="1">
      <c r="A10" s="363">
        <v>1</v>
      </c>
      <c r="B10" s="363">
        <v>2</v>
      </c>
      <c r="C10" s="363">
        <v>3</v>
      </c>
      <c r="D10" s="363">
        <v>4</v>
      </c>
      <c r="E10" s="363">
        <v>5</v>
      </c>
      <c r="F10" s="363">
        <v>6</v>
      </c>
      <c r="G10" s="363">
        <v>7</v>
      </c>
      <c r="H10" s="364">
        <v>8</v>
      </c>
      <c r="I10" s="364">
        <v>9</v>
      </c>
      <c r="J10" s="365">
        <v>10</v>
      </c>
      <c r="K10" s="105"/>
      <c r="L10" s="105"/>
      <c r="M10" s="105"/>
    </row>
    <row r="11" spans="1:13" ht="14.25">
      <c r="A11" s="99">
        <v>1</v>
      </c>
      <c r="B11" s="19" t="s">
        <v>889</v>
      </c>
      <c r="C11" s="587">
        <v>0</v>
      </c>
      <c r="D11" s="587">
        <v>0</v>
      </c>
      <c r="E11" s="587">
        <v>1783</v>
      </c>
      <c r="F11" s="587">
        <v>0</v>
      </c>
      <c r="G11" s="587">
        <v>108</v>
      </c>
      <c r="H11" s="588">
        <v>0</v>
      </c>
      <c r="I11" s="588">
        <v>0</v>
      </c>
      <c r="J11" s="589">
        <f>SUM(C11:I11)</f>
        <v>1891</v>
      </c>
      <c r="K11" s="92">
        <v>1891</v>
      </c>
      <c r="L11" s="92">
        <f>K11-J11</f>
        <v>0</v>
      </c>
      <c r="M11" s="92"/>
    </row>
    <row r="12" spans="1:13" ht="14.25">
      <c r="A12" s="99">
        <v>2</v>
      </c>
      <c r="B12" s="19" t="s">
        <v>890</v>
      </c>
      <c r="C12" s="587">
        <v>0</v>
      </c>
      <c r="D12" s="587">
        <v>53</v>
      </c>
      <c r="E12" s="587">
        <v>2418</v>
      </c>
      <c r="F12" s="587">
        <v>0</v>
      </c>
      <c r="G12" s="587">
        <v>402</v>
      </c>
      <c r="H12" s="588">
        <v>0</v>
      </c>
      <c r="I12" s="588">
        <v>0</v>
      </c>
      <c r="J12" s="589">
        <f t="shared" ref="J12:J43" si="0">SUM(C12:I12)</f>
        <v>2873</v>
      </c>
      <c r="K12" s="92">
        <v>2873</v>
      </c>
      <c r="L12" s="92">
        <f t="shared" ref="L12:L43" si="1">K12-J12</f>
        <v>0</v>
      </c>
      <c r="M12" s="92"/>
    </row>
    <row r="13" spans="1:13" ht="14.25">
      <c r="A13" s="99">
        <v>3</v>
      </c>
      <c r="B13" s="19" t="s">
        <v>891</v>
      </c>
      <c r="C13" s="587">
        <v>0</v>
      </c>
      <c r="D13" s="587">
        <v>50</v>
      </c>
      <c r="E13" s="587">
        <v>2633</v>
      </c>
      <c r="F13" s="587">
        <v>0</v>
      </c>
      <c r="G13" s="587">
        <v>0</v>
      </c>
      <c r="H13" s="588">
        <v>0</v>
      </c>
      <c r="I13" s="588">
        <v>0</v>
      </c>
      <c r="J13" s="589">
        <f t="shared" si="0"/>
        <v>2683</v>
      </c>
      <c r="K13" s="92">
        <v>2683</v>
      </c>
      <c r="L13" s="92">
        <f t="shared" si="1"/>
        <v>0</v>
      </c>
      <c r="M13" s="92"/>
    </row>
    <row r="14" spans="1:13" ht="14.25">
      <c r="A14" s="99">
        <v>4</v>
      </c>
      <c r="B14" s="19" t="s">
        <v>892</v>
      </c>
      <c r="C14" s="587">
        <v>0</v>
      </c>
      <c r="D14" s="587">
        <v>225</v>
      </c>
      <c r="E14" s="587">
        <v>1090</v>
      </c>
      <c r="F14" s="587">
        <v>0</v>
      </c>
      <c r="G14" s="587">
        <v>0</v>
      </c>
      <c r="H14" s="588">
        <v>0</v>
      </c>
      <c r="I14" s="588">
        <v>0</v>
      </c>
      <c r="J14" s="589">
        <f t="shared" si="0"/>
        <v>1315</v>
      </c>
      <c r="K14" s="92">
        <v>1315</v>
      </c>
      <c r="L14" s="92">
        <f t="shared" si="1"/>
        <v>0</v>
      </c>
      <c r="M14" s="92"/>
    </row>
    <row r="15" spans="1:13" ht="14.25">
      <c r="A15" s="99">
        <v>5</v>
      </c>
      <c r="B15" s="19" t="s">
        <v>893</v>
      </c>
      <c r="C15" s="587">
        <v>0</v>
      </c>
      <c r="D15" s="587">
        <v>0</v>
      </c>
      <c r="E15" s="587">
        <v>4902</v>
      </c>
      <c r="F15" s="587">
        <v>0</v>
      </c>
      <c r="G15" s="587">
        <v>0</v>
      </c>
      <c r="H15" s="588">
        <v>0</v>
      </c>
      <c r="I15" s="588">
        <v>0</v>
      </c>
      <c r="J15" s="589">
        <f t="shared" si="0"/>
        <v>4902</v>
      </c>
      <c r="K15" s="92">
        <v>4902</v>
      </c>
      <c r="L15" s="92">
        <f t="shared" si="1"/>
        <v>0</v>
      </c>
      <c r="M15" s="92"/>
    </row>
    <row r="16" spans="1:13" ht="14.25">
      <c r="A16" s="99">
        <v>6</v>
      </c>
      <c r="B16" s="19" t="s">
        <v>894</v>
      </c>
      <c r="C16" s="587">
        <v>0</v>
      </c>
      <c r="D16" s="587">
        <v>150</v>
      </c>
      <c r="E16" s="587">
        <v>1598</v>
      </c>
      <c r="F16" s="587">
        <v>0</v>
      </c>
      <c r="G16" s="587">
        <v>0</v>
      </c>
      <c r="H16" s="588">
        <v>0</v>
      </c>
      <c r="I16" s="588">
        <v>0</v>
      </c>
      <c r="J16" s="589">
        <f t="shared" si="0"/>
        <v>1748</v>
      </c>
      <c r="K16" s="92">
        <v>1748</v>
      </c>
      <c r="L16" s="92">
        <f t="shared" si="1"/>
        <v>0</v>
      </c>
      <c r="M16" s="92"/>
    </row>
    <row r="17" spans="1:13" ht="14.25">
      <c r="A17" s="99">
        <v>7</v>
      </c>
      <c r="B17" s="19" t="s">
        <v>895</v>
      </c>
      <c r="C17" s="587">
        <v>0</v>
      </c>
      <c r="D17" s="587">
        <v>0</v>
      </c>
      <c r="E17" s="587">
        <v>2829</v>
      </c>
      <c r="F17" s="587">
        <v>0</v>
      </c>
      <c r="G17" s="587">
        <v>82</v>
      </c>
      <c r="H17" s="588">
        <v>0</v>
      </c>
      <c r="I17" s="588">
        <v>0</v>
      </c>
      <c r="J17" s="589">
        <f t="shared" si="0"/>
        <v>2911</v>
      </c>
      <c r="K17" s="92">
        <v>2911</v>
      </c>
      <c r="L17" s="92">
        <f t="shared" si="1"/>
        <v>0</v>
      </c>
      <c r="M17" s="92"/>
    </row>
    <row r="18" spans="1:13" ht="14.25">
      <c r="A18" s="99">
        <v>8</v>
      </c>
      <c r="B18" s="19" t="s">
        <v>896</v>
      </c>
      <c r="C18" s="587">
        <v>0</v>
      </c>
      <c r="D18" s="587">
        <v>47</v>
      </c>
      <c r="E18" s="587">
        <v>1749</v>
      </c>
      <c r="F18" s="587">
        <v>0</v>
      </c>
      <c r="G18" s="587">
        <v>179</v>
      </c>
      <c r="H18" s="588">
        <v>0</v>
      </c>
      <c r="I18" s="588">
        <v>0</v>
      </c>
      <c r="J18" s="589">
        <f t="shared" si="0"/>
        <v>1975</v>
      </c>
      <c r="K18" s="92">
        <v>1975</v>
      </c>
      <c r="L18" s="92">
        <f t="shared" si="1"/>
        <v>0</v>
      </c>
      <c r="M18" s="92"/>
    </row>
    <row r="19" spans="1:13" ht="14.25">
      <c r="A19" s="99">
        <v>9</v>
      </c>
      <c r="B19" s="19" t="s">
        <v>897</v>
      </c>
      <c r="C19" s="587">
        <v>0</v>
      </c>
      <c r="D19" s="587">
        <v>0</v>
      </c>
      <c r="E19" s="587">
        <v>1280</v>
      </c>
      <c r="F19" s="587">
        <v>0</v>
      </c>
      <c r="G19" s="587">
        <v>0</v>
      </c>
      <c r="H19" s="588">
        <v>0</v>
      </c>
      <c r="I19" s="588">
        <v>0</v>
      </c>
      <c r="J19" s="589">
        <f t="shared" si="0"/>
        <v>1280</v>
      </c>
      <c r="K19" s="92">
        <v>1280</v>
      </c>
      <c r="L19" s="92">
        <f t="shared" si="1"/>
        <v>0</v>
      </c>
      <c r="M19" s="92"/>
    </row>
    <row r="20" spans="1:13" ht="14.25">
      <c r="A20" s="99">
        <v>10</v>
      </c>
      <c r="B20" s="19" t="s">
        <v>898</v>
      </c>
      <c r="C20" s="587">
        <v>0</v>
      </c>
      <c r="D20" s="587">
        <v>0</v>
      </c>
      <c r="E20" s="587">
        <v>1832</v>
      </c>
      <c r="F20" s="587">
        <v>0</v>
      </c>
      <c r="G20" s="587">
        <v>0</v>
      </c>
      <c r="H20" s="588">
        <v>0</v>
      </c>
      <c r="I20" s="588">
        <v>0</v>
      </c>
      <c r="J20" s="589">
        <f t="shared" si="0"/>
        <v>1832</v>
      </c>
      <c r="K20" s="92">
        <v>1832</v>
      </c>
      <c r="L20" s="92">
        <f t="shared" si="1"/>
        <v>0</v>
      </c>
      <c r="M20" s="92"/>
    </row>
    <row r="21" spans="1:13" ht="14.25">
      <c r="A21" s="99">
        <v>11</v>
      </c>
      <c r="B21" s="19" t="s">
        <v>899</v>
      </c>
      <c r="C21" s="587">
        <v>0</v>
      </c>
      <c r="D21" s="587">
        <v>337</v>
      </c>
      <c r="E21" s="587">
        <v>1077</v>
      </c>
      <c r="F21" s="587">
        <v>0</v>
      </c>
      <c r="G21" s="587">
        <v>0</v>
      </c>
      <c r="H21" s="588">
        <v>0</v>
      </c>
      <c r="I21" s="588">
        <v>0</v>
      </c>
      <c r="J21" s="589">
        <f t="shared" si="0"/>
        <v>1414</v>
      </c>
      <c r="K21" s="92">
        <v>1414</v>
      </c>
      <c r="L21" s="92">
        <f t="shared" si="1"/>
        <v>0</v>
      </c>
      <c r="M21" s="92"/>
    </row>
    <row r="22" spans="1:13" ht="14.25">
      <c r="A22" s="99">
        <v>12</v>
      </c>
      <c r="B22" s="19" t="s">
        <v>900</v>
      </c>
      <c r="C22" s="587">
        <v>0</v>
      </c>
      <c r="D22" s="587">
        <v>19</v>
      </c>
      <c r="E22" s="587">
        <v>1515</v>
      </c>
      <c r="F22" s="587">
        <v>0</v>
      </c>
      <c r="G22" s="587">
        <v>0</v>
      </c>
      <c r="H22" s="588">
        <v>0</v>
      </c>
      <c r="I22" s="588">
        <v>0</v>
      </c>
      <c r="J22" s="589">
        <f t="shared" si="0"/>
        <v>1534</v>
      </c>
      <c r="K22" s="92">
        <v>1534</v>
      </c>
      <c r="L22" s="92">
        <f t="shared" si="1"/>
        <v>0</v>
      </c>
      <c r="M22" s="92"/>
    </row>
    <row r="23" spans="1:13" ht="14.25">
      <c r="A23" s="99">
        <v>13</v>
      </c>
      <c r="B23" s="19" t="s">
        <v>901</v>
      </c>
      <c r="C23" s="587">
        <v>0</v>
      </c>
      <c r="D23" s="587">
        <v>0</v>
      </c>
      <c r="E23" s="587">
        <v>1150</v>
      </c>
      <c r="F23" s="587">
        <v>0</v>
      </c>
      <c r="G23" s="587">
        <v>0</v>
      </c>
      <c r="H23" s="588">
        <v>0</v>
      </c>
      <c r="I23" s="588">
        <v>0</v>
      </c>
      <c r="J23" s="589">
        <f t="shared" si="0"/>
        <v>1150</v>
      </c>
      <c r="K23" s="92">
        <v>1150</v>
      </c>
      <c r="L23" s="92">
        <f t="shared" si="1"/>
        <v>0</v>
      </c>
      <c r="M23" s="92"/>
    </row>
    <row r="24" spans="1:13" ht="14.25">
      <c r="A24" s="99">
        <v>14</v>
      </c>
      <c r="B24" s="19" t="s">
        <v>902</v>
      </c>
      <c r="C24" s="587">
        <v>0</v>
      </c>
      <c r="D24" s="587">
        <v>0</v>
      </c>
      <c r="E24" s="587">
        <v>2239</v>
      </c>
      <c r="F24" s="587">
        <v>0</v>
      </c>
      <c r="G24" s="587">
        <v>0</v>
      </c>
      <c r="H24" s="588">
        <v>0</v>
      </c>
      <c r="I24" s="588">
        <v>0</v>
      </c>
      <c r="J24" s="589">
        <f t="shared" si="0"/>
        <v>2239</v>
      </c>
      <c r="K24" s="92">
        <v>2239</v>
      </c>
      <c r="L24" s="92">
        <f t="shared" si="1"/>
        <v>0</v>
      </c>
      <c r="M24" s="92"/>
    </row>
    <row r="25" spans="1:13" ht="14.25">
      <c r="A25" s="99">
        <v>15</v>
      </c>
      <c r="B25" s="19" t="s">
        <v>903</v>
      </c>
      <c r="C25" s="587">
        <v>0</v>
      </c>
      <c r="D25" s="587">
        <v>0</v>
      </c>
      <c r="E25" s="587">
        <v>1924</v>
      </c>
      <c r="F25" s="587">
        <v>0</v>
      </c>
      <c r="G25" s="587">
        <v>0</v>
      </c>
      <c r="H25" s="588">
        <v>0</v>
      </c>
      <c r="I25" s="588">
        <v>0</v>
      </c>
      <c r="J25" s="589">
        <f t="shared" si="0"/>
        <v>1924</v>
      </c>
      <c r="K25" s="92">
        <v>1924</v>
      </c>
      <c r="L25" s="92">
        <f t="shared" si="1"/>
        <v>0</v>
      </c>
      <c r="M25" s="92"/>
    </row>
    <row r="26" spans="1:13" ht="14.25">
      <c r="A26" s="99">
        <v>16</v>
      </c>
      <c r="B26" s="19" t="s">
        <v>904</v>
      </c>
      <c r="C26" s="587">
        <v>0</v>
      </c>
      <c r="D26" s="587">
        <v>28</v>
      </c>
      <c r="E26" s="587">
        <v>1066</v>
      </c>
      <c r="F26" s="587">
        <v>0</v>
      </c>
      <c r="G26" s="587">
        <v>0</v>
      </c>
      <c r="H26" s="588">
        <v>0</v>
      </c>
      <c r="I26" s="588">
        <v>0</v>
      </c>
      <c r="J26" s="589">
        <f t="shared" si="0"/>
        <v>1094</v>
      </c>
      <c r="K26" s="92">
        <v>1094</v>
      </c>
      <c r="L26" s="92">
        <f t="shared" si="1"/>
        <v>0</v>
      </c>
      <c r="M26" s="92"/>
    </row>
    <row r="27" spans="1:13" ht="14.25">
      <c r="A27" s="99">
        <v>17</v>
      </c>
      <c r="B27" s="19" t="s">
        <v>905</v>
      </c>
      <c r="C27" s="587">
        <v>0</v>
      </c>
      <c r="D27" s="587">
        <v>0</v>
      </c>
      <c r="E27" s="587">
        <v>1639</v>
      </c>
      <c r="F27" s="587"/>
      <c r="G27" s="587">
        <v>2012</v>
      </c>
      <c r="H27" s="588">
        <v>0</v>
      </c>
      <c r="I27" s="588">
        <v>0</v>
      </c>
      <c r="J27" s="589">
        <f t="shared" si="0"/>
        <v>3651</v>
      </c>
      <c r="K27" s="92">
        <v>3651</v>
      </c>
      <c r="L27" s="92">
        <f t="shared" si="1"/>
        <v>0</v>
      </c>
      <c r="M27" s="92"/>
    </row>
    <row r="28" spans="1:13" ht="14.25">
      <c r="A28" s="99">
        <v>18</v>
      </c>
      <c r="B28" s="19" t="s">
        <v>906</v>
      </c>
      <c r="C28" s="587">
        <v>0</v>
      </c>
      <c r="D28" s="587">
        <v>23</v>
      </c>
      <c r="E28" s="587">
        <v>1257</v>
      </c>
      <c r="F28" s="587">
        <v>0</v>
      </c>
      <c r="G28" s="587">
        <v>0</v>
      </c>
      <c r="H28" s="588">
        <v>0</v>
      </c>
      <c r="I28" s="588">
        <v>0</v>
      </c>
      <c r="J28" s="589">
        <f t="shared" si="0"/>
        <v>1280</v>
      </c>
      <c r="K28" s="92">
        <v>1280</v>
      </c>
      <c r="L28" s="92">
        <f t="shared" si="1"/>
        <v>0</v>
      </c>
      <c r="M28" s="92"/>
    </row>
    <row r="29" spans="1:13" ht="14.25">
      <c r="A29" s="99">
        <v>19</v>
      </c>
      <c r="B29" s="19" t="s">
        <v>907</v>
      </c>
      <c r="C29" s="587">
        <v>0</v>
      </c>
      <c r="D29" s="587">
        <v>0</v>
      </c>
      <c r="E29" s="587">
        <v>1908</v>
      </c>
      <c r="F29" s="587">
        <v>0</v>
      </c>
      <c r="G29" s="587">
        <v>0</v>
      </c>
      <c r="H29" s="588">
        <v>0</v>
      </c>
      <c r="I29" s="588">
        <v>0</v>
      </c>
      <c r="J29" s="589">
        <f t="shared" si="0"/>
        <v>1908</v>
      </c>
      <c r="K29" s="92">
        <v>1908</v>
      </c>
      <c r="L29" s="92">
        <f t="shared" si="1"/>
        <v>0</v>
      </c>
      <c r="M29" s="92"/>
    </row>
    <row r="30" spans="1:13" ht="14.25">
      <c r="A30" s="99">
        <v>20</v>
      </c>
      <c r="B30" s="19" t="s">
        <v>908</v>
      </c>
      <c r="C30" s="587">
        <v>0</v>
      </c>
      <c r="D30" s="587">
        <v>3</v>
      </c>
      <c r="E30" s="587">
        <v>1604</v>
      </c>
      <c r="F30" s="587">
        <v>0</v>
      </c>
      <c r="G30" s="587">
        <v>147</v>
      </c>
      <c r="H30" s="588">
        <v>0</v>
      </c>
      <c r="I30" s="588">
        <v>0</v>
      </c>
      <c r="J30" s="589">
        <f t="shared" si="0"/>
        <v>1754</v>
      </c>
      <c r="K30" s="92">
        <v>1754</v>
      </c>
      <c r="L30" s="92">
        <f t="shared" si="1"/>
        <v>0</v>
      </c>
      <c r="M30" s="92"/>
    </row>
    <row r="31" spans="1:13" ht="14.25">
      <c r="A31" s="99">
        <v>21</v>
      </c>
      <c r="B31" s="19" t="s">
        <v>909</v>
      </c>
      <c r="C31" s="587">
        <v>0</v>
      </c>
      <c r="D31" s="587">
        <v>0</v>
      </c>
      <c r="E31" s="587">
        <v>1554</v>
      </c>
      <c r="F31" s="587">
        <v>0</v>
      </c>
      <c r="G31" s="587"/>
      <c r="H31" s="588">
        <v>0</v>
      </c>
      <c r="I31" s="588">
        <v>0</v>
      </c>
      <c r="J31" s="589">
        <f t="shared" si="0"/>
        <v>1554</v>
      </c>
      <c r="K31" s="92">
        <v>1554</v>
      </c>
      <c r="L31" s="92">
        <f t="shared" si="1"/>
        <v>0</v>
      </c>
      <c r="M31" s="92"/>
    </row>
    <row r="32" spans="1:13" ht="14.25">
      <c r="A32" s="99">
        <v>22</v>
      </c>
      <c r="B32" s="19" t="s">
        <v>910</v>
      </c>
      <c r="C32" s="587">
        <v>0</v>
      </c>
      <c r="D32" s="587">
        <v>6</v>
      </c>
      <c r="E32" s="587">
        <v>3109</v>
      </c>
      <c r="F32" s="587">
        <v>0</v>
      </c>
      <c r="G32" s="587">
        <v>392</v>
      </c>
      <c r="H32" s="588">
        <v>0</v>
      </c>
      <c r="I32" s="588">
        <v>0</v>
      </c>
      <c r="J32" s="589">
        <f t="shared" si="0"/>
        <v>3507</v>
      </c>
      <c r="K32" s="92">
        <v>3507</v>
      </c>
      <c r="L32" s="92">
        <f t="shared" si="1"/>
        <v>0</v>
      </c>
      <c r="M32" s="92"/>
    </row>
    <row r="33" spans="1:13" ht="14.25">
      <c r="A33" s="99">
        <v>23</v>
      </c>
      <c r="B33" s="19" t="s">
        <v>911</v>
      </c>
      <c r="C33" s="587">
        <v>0</v>
      </c>
      <c r="D33" s="587">
        <v>0</v>
      </c>
      <c r="E33" s="587">
        <v>1413</v>
      </c>
      <c r="F33" s="587">
        <v>0</v>
      </c>
      <c r="G33" s="587">
        <v>0</v>
      </c>
      <c r="H33" s="588">
        <v>0</v>
      </c>
      <c r="I33" s="588">
        <v>0</v>
      </c>
      <c r="J33" s="589">
        <f t="shared" si="0"/>
        <v>1413</v>
      </c>
      <c r="K33" s="92">
        <v>1413</v>
      </c>
      <c r="L33" s="92">
        <f t="shared" si="1"/>
        <v>0</v>
      </c>
      <c r="M33" s="92"/>
    </row>
    <row r="34" spans="1:13" ht="14.25">
      <c r="A34" s="99">
        <v>24</v>
      </c>
      <c r="B34" s="19" t="s">
        <v>912</v>
      </c>
      <c r="C34" s="587">
        <v>0</v>
      </c>
      <c r="D34" s="587">
        <v>69</v>
      </c>
      <c r="E34" s="587">
        <v>1077</v>
      </c>
      <c r="F34" s="587">
        <v>0</v>
      </c>
      <c r="G34" s="587">
        <v>0</v>
      </c>
      <c r="H34" s="588">
        <v>0</v>
      </c>
      <c r="I34" s="588">
        <v>0</v>
      </c>
      <c r="J34" s="589">
        <f t="shared" si="0"/>
        <v>1146</v>
      </c>
      <c r="K34" s="92">
        <v>1146</v>
      </c>
      <c r="L34" s="92">
        <f t="shared" si="1"/>
        <v>0</v>
      </c>
      <c r="M34" s="92"/>
    </row>
    <row r="35" spans="1:13" ht="14.25">
      <c r="A35" s="99">
        <v>25</v>
      </c>
      <c r="B35" s="19" t="s">
        <v>913</v>
      </c>
      <c r="C35" s="587">
        <v>0</v>
      </c>
      <c r="D35" s="587">
        <v>15</v>
      </c>
      <c r="E35" s="587">
        <v>3102</v>
      </c>
      <c r="F35" s="587">
        <v>0</v>
      </c>
      <c r="G35" s="587">
        <v>0</v>
      </c>
      <c r="H35" s="588">
        <v>0</v>
      </c>
      <c r="I35" s="588">
        <v>0</v>
      </c>
      <c r="J35" s="589">
        <f t="shared" si="0"/>
        <v>3117</v>
      </c>
      <c r="K35" s="92">
        <v>3117</v>
      </c>
      <c r="L35" s="92">
        <f t="shared" si="1"/>
        <v>0</v>
      </c>
      <c r="M35" s="92"/>
    </row>
    <row r="36" spans="1:13" ht="14.25">
      <c r="A36" s="99">
        <v>26</v>
      </c>
      <c r="B36" s="19" t="s">
        <v>914</v>
      </c>
      <c r="C36" s="587">
        <v>0</v>
      </c>
      <c r="D36" s="587">
        <v>5</v>
      </c>
      <c r="E36" s="587">
        <v>1806</v>
      </c>
      <c r="F36" s="587">
        <v>0</v>
      </c>
      <c r="G36" s="587">
        <v>0</v>
      </c>
      <c r="H36" s="588">
        <v>0</v>
      </c>
      <c r="I36" s="588">
        <v>0</v>
      </c>
      <c r="J36" s="589">
        <f t="shared" si="0"/>
        <v>1811</v>
      </c>
      <c r="K36" s="92">
        <v>1811</v>
      </c>
      <c r="L36" s="92">
        <f t="shared" si="1"/>
        <v>0</v>
      </c>
      <c r="M36" s="92"/>
    </row>
    <row r="37" spans="1:13" ht="14.25">
      <c r="A37" s="99">
        <v>27</v>
      </c>
      <c r="B37" s="19" t="s">
        <v>915</v>
      </c>
      <c r="C37" s="587">
        <v>0</v>
      </c>
      <c r="D37" s="587">
        <v>41</v>
      </c>
      <c r="E37" s="587">
        <v>1314</v>
      </c>
      <c r="F37" s="587">
        <v>0</v>
      </c>
      <c r="G37" s="587">
        <v>0</v>
      </c>
      <c r="H37" s="588">
        <v>0</v>
      </c>
      <c r="I37" s="588">
        <v>0</v>
      </c>
      <c r="J37" s="589">
        <f t="shared" si="0"/>
        <v>1355</v>
      </c>
      <c r="K37" s="92">
        <v>1355</v>
      </c>
      <c r="L37" s="92">
        <f t="shared" si="1"/>
        <v>0</v>
      </c>
      <c r="M37" s="92"/>
    </row>
    <row r="38" spans="1:13" ht="14.25">
      <c r="A38" s="99">
        <v>28</v>
      </c>
      <c r="B38" s="19" t="s">
        <v>916</v>
      </c>
      <c r="C38" s="587">
        <v>0</v>
      </c>
      <c r="D38" s="587">
        <v>0</v>
      </c>
      <c r="E38" s="587">
        <v>1100</v>
      </c>
      <c r="F38" s="587">
        <v>0</v>
      </c>
      <c r="G38" s="587">
        <v>587</v>
      </c>
      <c r="H38" s="588">
        <v>0</v>
      </c>
      <c r="I38" s="588">
        <v>0</v>
      </c>
      <c r="J38" s="589">
        <f t="shared" si="0"/>
        <v>1687</v>
      </c>
      <c r="K38" s="92">
        <v>1687</v>
      </c>
      <c r="L38" s="92">
        <f t="shared" si="1"/>
        <v>0</v>
      </c>
      <c r="M38" s="92"/>
    </row>
    <row r="39" spans="1:13" ht="14.25">
      <c r="A39" s="99">
        <v>29</v>
      </c>
      <c r="B39" s="19" t="s">
        <v>917</v>
      </c>
      <c r="C39" s="587">
        <v>0</v>
      </c>
      <c r="D39" s="587">
        <v>21</v>
      </c>
      <c r="E39" s="587">
        <v>1102</v>
      </c>
      <c r="F39" s="587">
        <v>0</v>
      </c>
      <c r="G39" s="587">
        <v>0</v>
      </c>
      <c r="H39" s="588">
        <v>0</v>
      </c>
      <c r="I39" s="588">
        <v>0</v>
      </c>
      <c r="J39" s="589">
        <f t="shared" si="0"/>
        <v>1123</v>
      </c>
      <c r="K39" s="92">
        <v>1123</v>
      </c>
      <c r="L39" s="92">
        <f t="shared" si="1"/>
        <v>0</v>
      </c>
      <c r="M39" s="92"/>
    </row>
    <row r="40" spans="1:13" ht="14.25">
      <c r="A40" s="99">
        <v>30</v>
      </c>
      <c r="B40" s="19" t="s">
        <v>918</v>
      </c>
      <c r="C40" s="587">
        <v>0</v>
      </c>
      <c r="D40" s="587">
        <v>51</v>
      </c>
      <c r="E40" s="587">
        <v>1894</v>
      </c>
      <c r="F40" s="587">
        <v>0</v>
      </c>
      <c r="G40" s="587">
        <v>0</v>
      </c>
      <c r="H40" s="588">
        <v>0</v>
      </c>
      <c r="I40" s="588">
        <v>0</v>
      </c>
      <c r="J40" s="589">
        <f t="shared" si="0"/>
        <v>1945</v>
      </c>
      <c r="K40" s="92">
        <v>1945</v>
      </c>
      <c r="L40" s="92">
        <f t="shared" si="1"/>
        <v>0</v>
      </c>
      <c r="M40" s="92"/>
    </row>
    <row r="41" spans="1:13" ht="14.25">
      <c r="A41" s="99">
        <v>31</v>
      </c>
      <c r="B41" s="19" t="s">
        <v>919</v>
      </c>
      <c r="C41" s="587">
        <v>0</v>
      </c>
      <c r="D41" s="587">
        <v>31</v>
      </c>
      <c r="E41" s="587">
        <v>898</v>
      </c>
      <c r="F41" s="587">
        <v>0</v>
      </c>
      <c r="G41" s="587">
        <v>0</v>
      </c>
      <c r="H41" s="588">
        <v>0</v>
      </c>
      <c r="I41" s="588">
        <v>0</v>
      </c>
      <c r="J41" s="589">
        <f t="shared" si="0"/>
        <v>929</v>
      </c>
      <c r="K41" s="92">
        <v>929</v>
      </c>
      <c r="L41" s="92">
        <f t="shared" si="1"/>
        <v>0</v>
      </c>
      <c r="M41" s="92"/>
    </row>
    <row r="42" spans="1:13" ht="14.25">
      <c r="A42" s="99">
        <v>32</v>
      </c>
      <c r="B42" s="19" t="s">
        <v>920</v>
      </c>
      <c r="C42" s="587">
        <v>0</v>
      </c>
      <c r="D42" s="587">
        <v>18</v>
      </c>
      <c r="E42" s="587">
        <v>1557</v>
      </c>
      <c r="F42" s="587">
        <v>0</v>
      </c>
      <c r="G42" s="587">
        <v>0</v>
      </c>
      <c r="H42" s="588">
        <v>0</v>
      </c>
      <c r="I42" s="588">
        <v>0</v>
      </c>
      <c r="J42" s="589">
        <f t="shared" si="0"/>
        <v>1575</v>
      </c>
      <c r="K42" s="92">
        <v>1575</v>
      </c>
      <c r="L42" s="92">
        <f t="shared" si="1"/>
        <v>0</v>
      </c>
      <c r="M42" s="92"/>
    </row>
    <row r="43" spans="1:13" ht="14.25">
      <c r="A43" s="96">
        <v>33</v>
      </c>
      <c r="B43" s="19" t="s">
        <v>921</v>
      </c>
      <c r="C43" s="587">
        <v>0</v>
      </c>
      <c r="D43" s="587">
        <v>12</v>
      </c>
      <c r="E43" s="587">
        <v>3762</v>
      </c>
      <c r="F43" s="587">
        <v>0</v>
      </c>
      <c r="G43" s="587">
        <v>199</v>
      </c>
      <c r="H43" s="587">
        <v>0</v>
      </c>
      <c r="I43" s="587">
        <v>0</v>
      </c>
      <c r="J43" s="679">
        <f t="shared" si="0"/>
        <v>3973</v>
      </c>
      <c r="K43">
        <v>3973</v>
      </c>
      <c r="L43" s="92">
        <f t="shared" si="1"/>
        <v>0</v>
      </c>
      <c r="M43" s="92"/>
    </row>
    <row r="44" spans="1:13">
      <c r="A44" s="590"/>
      <c r="B44" s="100" t="s">
        <v>991</v>
      </c>
      <c r="C44" s="99">
        <f>SUM(C11:C43)</f>
        <v>0</v>
      </c>
      <c r="D44" s="96">
        <f t="shared" ref="D44:I44" si="2">SUM(D11:D43)</f>
        <v>1204</v>
      </c>
      <c r="E44" s="96">
        <f t="shared" si="2"/>
        <v>61181</v>
      </c>
      <c r="F44" s="96">
        <f t="shared" si="2"/>
        <v>0</v>
      </c>
      <c r="G44" s="96">
        <f t="shared" si="2"/>
        <v>4108</v>
      </c>
      <c r="H44" s="96">
        <f t="shared" si="2"/>
        <v>0</v>
      </c>
      <c r="I44" s="96">
        <f t="shared" si="2"/>
        <v>0</v>
      </c>
      <c r="J44" s="680">
        <f>SUM(J11:J43)</f>
        <v>66493</v>
      </c>
      <c r="K44" s="92"/>
      <c r="L44" s="92">
        <f>SUM(L11:L43)</f>
        <v>0</v>
      </c>
      <c r="M44" s="92"/>
    </row>
    <row r="45" spans="1:1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1:13">
      <c r="A46" s="92" t="s">
        <v>125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1:13">
      <c r="A47" s="92" t="s">
        <v>201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spans="1:13">
      <c r="A48" t="s">
        <v>126</v>
      </c>
    </row>
    <row r="49" spans="1:13">
      <c r="A49" s="1048" t="s">
        <v>127</v>
      </c>
      <c r="B49" s="1048"/>
      <c r="C49" s="1048"/>
      <c r="D49" s="1048"/>
      <c r="E49" s="1048"/>
      <c r="F49" s="1048"/>
      <c r="G49" s="1048"/>
      <c r="H49" s="1048"/>
      <c r="I49" s="1048"/>
      <c r="J49" s="1048"/>
      <c r="K49" s="1048"/>
      <c r="L49" s="1048"/>
      <c r="M49" s="1048"/>
    </row>
    <row r="50" spans="1:13">
      <c r="A50" s="1060" t="s">
        <v>128</v>
      </c>
      <c r="B50" s="1060"/>
      <c r="C50" s="1060"/>
      <c r="D50" s="1060"/>
      <c r="E50" s="92"/>
      <c r="F50" s="92"/>
      <c r="G50" s="92"/>
      <c r="H50" s="92"/>
      <c r="I50" s="92"/>
      <c r="J50" s="92"/>
      <c r="K50" s="92"/>
      <c r="L50" s="92"/>
      <c r="M50" s="92"/>
    </row>
    <row r="51" spans="1:13">
      <c r="A51" s="147" t="s">
        <v>170</v>
      </c>
      <c r="B51" s="147"/>
      <c r="C51" s="147"/>
      <c r="D51" s="147"/>
      <c r="E51" s="92"/>
      <c r="F51" s="92"/>
      <c r="G51" s="92"/>
      <c r="H51" s="92"/>
      <c r="I51" s="92"/>
      <c r="J51" s="92"/>
      <c r="K51" s="92"/>
      <c r="L51" s="92"/>
      <c r="M51" s="92"/>
    </row>
    <row r="52" spans="1:13">
      <c r="A52" s="147"/>
      <c r="B52" s="147"/>
      <c r="C52" s="147"/>
      <c r="D52" s="147"/>
      <c r="E52" s="92"/>
      <c r="F52" s="92"/>
      <c r="G52" s="92"/>
      <c r="H52" s="92"/>
      <c r="I52" s="92"/>
      <c r="J52" s="92"/>
      <c r="K52" s="92"/>
      <c r="L52" s="92"/>
      <c r="M52" s="92"/>
    </row>
    <row r="53" spans="1:13" ht="15.75">
      <c r="A53" s="104" t="s">
        <v>12</v>
      </c>
      <c r="B53" s="104"/>
      <c r="C53" s="104"/>
      <c r="D53" s="104"/>
      <c r="E53" s="104"/>
      <c r="F53" s="104"/>
      <c r="G53" s="104"/>
      <c r="H53" s="104"/>
      <c r="I53" s="104"/>
      <c r="J53" s="148" t="s">
        <v>13</v>
      </c>
      <c r="K53" s="148"/>
      <c r="L53" s="92"/>
      <c r="M53" s="92"/>
    </row>
    <row r="54" spans="1:13" ht="15.75">
      <c r="A54" s="894" t="s">
        <v>14</v>
      </c>
      <c r="B54" s="894"/>
      <c r="C54" s="894"/>
      <c r="D54" s="894"/>
      <c r="E54" s="894"/>
      <c r="F54" s="894"/>
      <c r="G54" s="894"/>
      <c r="H54" s="894"/>
      <c r="I54" s="894"/>
      <c r="J54" s="894"/>
      <c r="K54" s="92"/>
      <c r="L54" s="92"/>
      <c r="M54" s="92"/>
    </row>
    <row r="55" spans="1:13" ht="15.75" customHeight="1">
      <c r="A55" s="894" t="s">
        <v>15</v>
      </c>
      <c r="B55" s="894"/>
      <c r="C55" s="894"/>
      <c r="D55" s="894"/>
      <c r="E55" s="894"/>
      <c r="F55" s="894"/>
      <c r="G55" s="894"/>
      <c r="H55" s="894"/>
      <c r="I55" s="894"/>
      <c r="J55" s="894"/>
      <c r="K55" s="148"/>
      <c r="L55" s="92"/>
      <c r="M55" s="92"/>
    </row>
    <row r="56" spans="1:13">
      <c r="A56" s="92"/>
      <c r="B56" s="92"/>
      <c r="C56" s="92"/>
      <c r="D56" s="92"/>
      <c r="E56" s="92"/>
      <c r="F56" s="92"/>
      <c r="G56" s="851" t="s">
        <v>87</v>
      </c>
      <c r="H56" s="851"/>
      <c r="I56" s="851"/>
      <c r="J56" s="851"/>
      <c r="K56" s="36"/>
      <c r="L56" s="36"/>
      <c r="M56" s="92"/>
    </row>
    <row r="57" spans="1:13">
      <c r="A57" s="1049"/>
      <c r="B57" s="1049"/>
      <c r="C57" s="1049"/>
      <c r="D57" s="1049"/>
      <c r="E57" s="1049"/>
      <c r="F57" s="1049"/>
      <c r="G57" s="1049"/>
      <c r="H57" s="1049"/>
      <c r="I57" s="1049"/>
      <c r="J57" s="1049"/>
      <c r="K57" s="92"/>
      <c r="L57" s="92"/>
      <c r="M57" s="92"/>
    </row>
  </sheetData>
  <mergeCells count="17">
    <mergeCell ref="G56:J56"/>
    <mergeCell ref="A57:J57"/>
    <mergeCell ref="A54:J54"/>
    <mergeCell ref="A49:D49"/>
    <mergeCell ref="E49:J49"/>
    <mergeCell ref="A50:D50"/>
    <mergeCell ref="A55:J55"/>
    <mergeCell ref="D1:E1"/>
    <mergeCell ref="G1:J1"/>
    <mergeCell ref="A2:J2"/>
    <mergeCell ref="A4:J4"/>
    <mergeCell ref="A5:B5"/>
    <mergeCell ref="K49:M49"/>
    <mergeCell ref="A8:A9"/>
    <mergeCell ref="B8:B9"/>
    <mergeCell ref="C8:J8"/>
    <mergeCell ref="C3:I3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Z55"/>
  <sheetViews>
    <sheetView view="pageBreakPreview" topLeftCell="A19" zoomScale="84" zoomScaleNormal="80" zoomScaleSheetLayoutView="84" workbookViewId="0">
      <selection activeCell="D45" sqref="D45"/>
    </sheetView>
  </sheetViews>
  <sheetFormatPr defaultRowHeight="12.75"/>
  <cols>
    <col min="1" max="1" width="6.140625" customWidth="1"/>
    <col min="2" max="2" width="18.140625" customWidth="1"/>
    <col min="3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86" t="s">
        <v>549</v>
      </c>
      <c r="M1" s="986"/>
      <c r="N1" s="106"/>
      <c r="O1" s="92"/>
      <c r="P1" s="92"/>
    </row>
    <row r="2" spans="1:26" ht="15.75">
      <c r="A2" s="1047" t="s">
        <v>0</v>
      </c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92"/>
      <c r="O2" s="92"/>
      <c r="P2" s="92"/>
    </row>
    <row r="3" spans="1:26" ht="20.25">
      <c r="A3" s="912" t="s">
        <v>705</v>
      </c>
      <c r="B3" s="912"/>
      <c r="C3" s="912"/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2"/>
      <c r="O3" s="92"/>
      <c r="P3" s="92"/>
    </row>
    <row r="4" spans="1:26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26" ht="15.75">
      <c r="A5" s="913" t="s">
        <v>548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2"/>
      <c r="O5" s="92"/>
      <c r="P5" s="92"/>
    </row>
    <row r="6" spans="1:26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1:26">
      <c r="A7" s="850" t="s">
        <v>922</v>
      </c>
      <c r="B7" s="850"/>
      <c r="C7" s="32"/>
      <c r="D7" s="32"/>
      <c r="E7" s="3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</row>
    <row r="8" spans="1:26" ht="18">
      <c r="A8" s="95"/>
      <c r="B8" s="95"/>
      <c r="C8" s="95"/>
      <c r="D8" s="95"/>
      <c r="E8" s="95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26" ht="19.899999999999999" customHeight="1">
      <c r="A9" s="1045" t="s">
        <v>2</v>
      </c>
      <c r="B9" s="1045" t="s">
        <v>3</v>
      </c>
      <c r="C9" s="1062" t="s">
        <v>123</v>
      </c>
      <c r="D9" s="1062"/>
      <c r="E9" s="1063"/>
      <c r="F9" s="1061" t="s">
        <v>124</v>
      </c>
      <c r="G9" s="1062"/>
      <c r="H9" s="1062"/>
      <c r="I9" s="1063"/>
      <c r="J9" s="1061" t="s">
        <v>199</v>
      </c>
      <c r="K9" s="1062"/>
      <c r="L9" s="1062"/>
      <c r="M9" s="1063"/>
      <c r="Y9" s="9"/>
      <c r="Z9" s="12"/>
    </row>
    <row r="10" spans="1:26" ht="45.75" customHeight="1">
      <c r="A10" s="1045"/>
      <c r="B10" s="1045"/>
      <c r="C10" s="150" t="s">
        <v>391</v>
      </c>
      <c r="D10" s="4" t="s">
        <v>388</v>
      </c>
      <c r="E10" s="150" t="s">
        <v>202</v>
      </c>
      <c r="F10" s="4" t="s">
        <v>386</v>
      </c>
      <c r="G10" s="150" t="s">
        <v>387</v>
      </c>
      <c r="H10" s="4" t="s">
        <v>388</v>
      </c>
      <c r="I10" s="150" t="s">
        <v>202</v>
      </c>
      <c r="J10" s="4" t="s">
        <v>390</v>
      </c>
      <c r="K10" s="150" t="s">
        <v>387</v>
      </c>
      <c r="L10" s="4" t="s">
        <v>388</v>
      </c>
      <c r="M10" s="5" t="s">
        <v>202</v>
      </c>
    </row>
    <row r="11" spans="1:26" s="14" customFormat="1">
      <c r="A11" s="363">
        <v>1</v>
      </c>
      <c r="B11" s="363">
        <v>2</v>
      </c>
      <c r="C11" s="363">
        <v>3</v>
      </c>
      <c r="D11" s="363">
        <v>4</v>
      </c>
      <c r="E11" s="363">
        <v>5</v>
      </c>
      <c r="F11" s="363">
        <v>6</v>
      </c>
      <c r="G11" s="363">
        <v>7</v>
      </c>
      <c r="H11" s="363">
        <v>8</v>
      </c>
      <c r="I11" s="363">
        <v>9</v>
      </c>
      <c r="J11" s="363">
        <v>10</v>
      </c>
      <c r="K11" s="363">
        <v>11</v>
      </c>
      <c r="L11" s="363">
        <v>12</v>
      </c>
      <c r="M11" s="363">
        <v>13</v>
      </c>
    </row>
    <row r="12" spans="1:26" ht="14.25">
      <c r="A12" s="99">
        <v>1</v>
      </c>
      <c r="B12" s="19" t="s">
        <v>889</v>
      </c>
      <c r="C12" s="587">
        <v>0</v>
      </c>
      <c r="D12" s="587">
        <v>0</v>
      </c>
      <c r="E12" s="587">
        <v>0</v>
      </c>
      <c r="F12" s="587">
        <v>1</v>
      </c>
      <c r="G12" s="587">
        <v>1</v>
      </c>
      <c r="H12" s="587">
        <v>108</v>
      </c>
      <c r="I12" s="587">
        <v>17625</v>
      </c>
      <c r="J12" s="587">
        <v>0</v>
      </c>
      <c r="K12" s="587">
        <v>0</v>
      </c>
      <c r="L12" s="587">
        <v>0</v>
      </c>
      <c r="M12" s="587">
        <v>0</v>
      </c>
    </row>
    <row r="13" spans="1:26" ht="14.25">
      <c r="A13" s="99">
        <v>2</v>
      </c>
      <c r="B13" s="19" t="s">
        <v>890</v>
      </c>
      <c r="C13" s="587">
        <v>10</v>
      </c>
      <c r="D13" s="587">
        <v>53</v>
      </c>
      <c r="E13" s="587">
        <v>3632</v>
      </c>
      <c r="F13" s="587">
        <v>1</v>
      </c>
      <c r="G13" s="587">
        <v>1</v>
      </c>
      <c r="H13" s="587">
        <v>402</v>
      </c>
      <c r="I13" s="587">
        <v>55702</v>
      </c>
      <c r="J13" s="587">
        <v>0</v>
      </c>
      <c r="K13" s="587">
        <v>0</v>
      </c>
      <c r="L13" s="587">
        <v>0</v>
      </c>
      <c r="M13" s="587">
        <v>0</v>
      </c>
    </row>
    <row r="14" spans="1:26" ht="14.25">
      <c r="A14" s="99">
        <v>3</v>
      </c>
      <c r="B14" s="19" t="s">
        <v>891</v>
      </c>
      <c r="C14" s="587">
        <v>7</v>
      </c>
      <c r="D14" s="587">
        <v>50</v>
      </c>
      <c r="E14" s="587">
        <v>4422</v>
      </c>
      <c r="F14" s="587">
        <v>0</v>
      </c>
      <c r="G14" s="587">
        <v>0</v>
      </c>
      <c r="H14" s="587">
        <v>0</v>
      </c>
      <c r="I14" s="587">
        <v>0</v>
      </c>
      <c r="J14" s="587">
        <v>0</v>
      </c>
      <c r="K14" s="587">
        <v>0</v>
      </c>
      <c r="L14" s="587">
        <v>0</v>
      </c>
      <c r="M14" s="587">
        <v>0</v>
      </c>
    </row>
    <row r="15" spans="1:26" ht="14.25">
      <c r="A15" s="99">
        <v>4</v>
      </c>
      <c r="B15" s="19" t="s">
        <v>892</v>
      </c>
      <c r="C15" s="587">
        <v>48</v>
      </c>
      <c r="D15" s="587">
        <v>225</v>
      </c>
      <c r="E15" s="587">
        <v>21841</v>
      </c>
      <c r="F15" s="587">
        <v>0</v>
      </c>
      <c r="G15" s="587">
        <v>0</v>
      </c>
      <c r="H15" s="587">
        <v>0</v>
      </c>
      <c r="I15" s="587">
        <v>0</v>
      </c>
      <c r="J15" s="587">
        <v>0</v>
      </c>
      <c r="K15" s="587">
        <v>0</v>
      </c>
      <c r="L15" s="587">
        <v>0</v>
      </c>
      <c r="M15" s="587">
        <v>0</v>
      </c>
    </row>
    <row r="16" spans="1:26" ht="14.25">
      <c r="A16" s="99">
        <v>5</v>
      </c>
      <c r="B16" s="19" t="s">
        <v>893</v>
      </c>
      <c r="C16" s="587">
        <v>0</v>
      </c>
      <c r="D16" s="587">
        <v>0</v>
      </c>
      <c r="E16" s="587">
        <v>0</v>
      </c>
      <c r="F16" s="587">
        <v>0</v>
      </c>
      <c r="G16" s="587">
        <v>0</v>
      </c>
      <c r="H16" s="587">
        <v>0</v>
      </c>
      <c r="I16" s="587">
        <v>0</v>
      </c>
      <c r="J16" s="587">
        <v>0</v>
      </c>
      <c r="K16" s="587">
        <v>0</v>
      </c>
      <c r="L16" s="587">
        <v>0</v>
      </c>
      <c r="M16" s="587">
        <v>0</v>
      </c>
    </row>
    <row r="17" spans="1:13" ht="14.25">
      <c r="A17" s="99">
        <v>6</v>
      </c>
      <c r="B17" s="19" t="s">
        <v>894</v>
      </c>
      <c r="C17" s="587">
        <v>27</v>
      </c>
      <c r="D17" s="587">
        <v>150</v>
      </c>
      <c r="E17" s="587">
        <v>17893</v>
      </c>
      <c r="F17" s="587">
        <v>0</v>
      </c>
      <c r="G17" s="587">
        <v>0</v>
      </c>
      <c r="H17" s="587">
        <v>0</v>
      </c>
      <c r="I17" s="587">
        <v>0</v>
      </c>
      <c r="J17" s="587">
        <v>0</v>
      </c>
      <c r="K17" s="587">
        <v>0</v>
      </c>
      <c r="L17" s="587">
        <v>0</v>
      </c>
      <c r="M17" s="587">
        <v>0</v>
      </c>
    </row>
    <row r="18" spans="1:13" ht="14.25">
      <c r="A18" s="99">
        <v>7</v>
      </c>
      <c r="B18" s="19" t="s">
        <v>895</v>
      </c>
      <c r="C18" s="587">
        <v>0</v>
      </c>
      <c r="D18" s="587">
        <v>0</v>
      </c>
      <c r="E18" s="587">
        <v>0</v>
      </c>
      <c r="F18" s="587">
        <v>0</v>
      </c>
      <c r="G18" s="587">
        <v>1</v>
      </c>
      <c r="H18" s="587">
        <v>82</v>
      </c>
      <c r="I18" s="587">
        <v>12223</v>
      </c>
      <c r="J18" s="587">
        <v>0</v>
      </c>
      <c r="K18" s="587">
        <v>0</v>
      </c>
      <c r="L18" s="587">
        <v>0</v>
      </c>
      <c r="M18" s="587">
        <v>0</v>
      </c>
    </row>
    <row r="19" spans="1:13" ht="14.25">
      <c r="A19" s="99">
        <v>8</v>
      </c>
      <c r="B19" s="19" t="s">
        <v>896</v>
      </c>
      <c r="C19" s="587">
        <v>6</v>
      </c>
      <c r="D19" s="587">
        <v>47</v>
      </c>
      <c r="E19" s="587">
        <v>7887</v>
      </c>
      <c r="F19" s="587">
        <v>0</v>
      </c>
      <c r="G19" s="587">
        <v>1</v>
      </c>
      <c r="H19" s="587">
        <v>179</v>
      </c>
      <c r="I19" s="587">
        <v>18800</v>
      </c>
      <c r="J19" s="587">
        <v>0</v>
      </c>
      <c r="K19" s="587">
        <v>0</v>
      </c>
      <c r="L19" s="587">
        <v>0</v>
      </c>
      <c r="M19" s="587">
        <v>0</v>
      </c>
    </row>
    <row r="20" spans="1:13" ht="14.25">
      <c r="A20" s="99">
        <v>9</v>
      </c>
      <c r="B20" s="19" t="s">
        <v>897</v>
      </c>
      <c r="C20" s="587">
        <v>0</v>
      </c>
      <c r="D20" s="587">
        <v>0</v>
      </c>
      <c r="E20" s="587">
        <v>0</v>
      </c>
      <c r="F20" s="587">
        <v>0</v>
      </c>
      <c r="G20" s="587">
        <v>0</v>
      </c>
      <c r="H20" s="587">
        <v>0</v>
      </c>
      <c r="I20" s="587">
        <v>0</v>
      </c>
      <c r="J20" s="587">
        <v>0</v>
      </c>
      <c r="K20" s="587">
        <v>0</v>
      </c>
      <c r="L20" s="587">
        <v>0</v>
      </c>
      <c r="M20" s="587">
        <v>0</v>
      </c>
    </row>
    <row r="21" spans="1:13" ht="14.25">
      <c r="A21" s="99">
        <v>10</v>
      </c>
      <c r="B21" s="19" t="s">
        <v>898</v>
      </c>
      <c r="C21" s="587">
        <v>0</v>
      </c>
      <c r="D21" s="587">
        <v>0</v>
      </c>
      <c r="E21" s="587">
        <v>0</v>
      </c>
      <c r="F21" s="587">
        <v>0</v>
      </c>
      <c r="G21" s="587">
        <v>0</v>
      </c>
      <c r="H21" s="587">
        <v>0</v>
      </c>
      <c r="I21" s="587">
        <v>0</v>
      </c>
      <c r="J21" s="587">
        <v>0</v>
      </c>
      <c r="K21" s="587">
        <v>0</v>
      </c>
      <c r="L21" s="587">
        <v>0</v>
      </c>
      <c r="M21" s="587">
        <v>0</v>
      </c>
    </row>
    <row r="22" spans="1:13" ht="14.25">
      <c r="A22" s="99">
        <v>11</v>
      </c>
      <c r="B22" s="19" t="s">
        <v>899</v>
      </c>
      <c r="C22" s="587">
        <v>58</v>
      </c>
      <c r="D22" s="587">
        <v>337</v>
      </c>
      <c r="E22" s="587">
        <v>46529</v>
      </c>
      <c r="F22" s="587">
        <v>0</v>
      </c>
      <c r="G22" s="587">
        <v>0</v>
      </c>
      <c r="H22" s="587">
        <v>0</v>
      </c>
      <c r="I22" s="587">
        <v>0</v>
      </c>
      <c r="J22" s="587">
        <v>0</v>
      </c>
      <c r="K22" s="587">
        <v>0</v>
      </c>
      <c r="L22" s="587">
        <v>0</v>
      </c>
      <c r="M22" s="587">
        <v>0</v>
      </c>
    </row>
    <row r="23" spans="1:13" ht="14.25">
      <c r="A23" s="99">
        <v>12</v>
      </c>
      <c r="B23" s="19" t="s">
        <v>900</v>
      </c>
      <c r="C23" s="587">
        <v>3</v>
      </c>
      <c r="D23" s="587">
        <v>19</v>
      </c>
      <c r="E23" s="587">
        <v>1724</v>
      </c>
      <c r="F23" s="587">
        <v>0</v>
      </c>
      <c r="G23" s="587">
        <v>0</v>
      </c>
      <c r="H23" s="587">
        <v>0</v>
      </c>
      <c r="I23" s="587">
        <v>0</v>
      </c>
      <c r="J23" s="587">
        <v>0</v>
      </c>
      <c r="K23" s="587">
        <v>0</v>
      </c>
      <c r="L23" s="587">
        <v>0</v>
      </c>
      <c r="M23" s="587">
        <v>0</v>
      </c>
    </row>
    <row r="24" spans="1:13" ht="14.25">
      <c r="A24" s="99">
        <v>13</v>
      </c>
      <c r="B24" s="19" t="s">
        <v>901</v>
      </c>
      <c r="C24" s="587">
        <v>0</v>
      </c>
      <c r="D24" s="587">
        <v>0</v>
      </c>
      <c r="E24" s="587">
        <v>0</v>
      </c>
      <c r="F24" s="587">
        <v>0</v>
      </c>
      <c r="G24" s="587">
        <v>0</v>
      </c>
      <c r="H24" s="587">
        <v>0</v>
      </c>
      <c r="I24" s="587">
        <v>0</v>
      </c>
      <c r="J24" s="587">
        <v>0</v>
      </c>
      <c r="K24" s="587">
        <v>0</v>
      </c>
      <c r="L24" s="587">
        <v>0</v>
      </c>
      <c r="M24" s="587">
        <v>0</v>
      </c>
    </row>
    <row r="25" spans="1:13" ht="14.25">
      <c r="A25" s="99">
        <v>14</v>
      </c>
      <c r="B25" s="19" t="s">
        <v>902</v>
      </c>
      <c r="C25" s="587">
        <v>0</v>
      </c>
      <c r="D25" s="587">
        <v>0</v>
      </c>
      <c r="E25" s="587">
        <v>0</v>
      </c>
      <c r="F25" s="587">
        <v>0</v>
      </c>
      <c r="G25" s="587">
        <v>0</v>
      </c>
      <c r="H25" s="587">
        <v>0</v>
      </c>
      <c r="I25" s="587">
        <v>0</v>
      </c>
      <c r="J25" s="587">
        <v>0</v>
      </c>
      <c r="K25" s="587">
        <v>0</v>
      </c>
      <c r="L25" s="587">
        <v>0</v>
      </c>
      <c r="M25" s="587">
        <v>0</v>
      </c>
    </row>
    <row r="26" spans="1:13" ht="14.25">
      <c r="A26" s="99">
        <v>15</v>
      </c>
      <c r="B26" s="19" t="s">
        <v>903</v>
      </c>
      <c r="C26" s="587">
        <v>0</v>
      </c>
      <c r="D26" s="587">
        <v>0</v>
      </c>
      <c r="E26" s="587">
        <v>0</v>
      </c>
      <c r="F26" s="587">
        <v>0</v>
      </c>
      <c r="G26" s="587">
        <v>0</v>
      </c>
      <c r="H26" s="587">
        <v>0</v>
      </c>
      <c r="I26" s="587">
        <v>0</v>
      </c>
      <c r="J26" s="587">
        <v>0</v>
      </c>
      <c r="K26" s="587">
        <v>0</v>
      </c>
      <c r="L26" s="587">
        <v>0</v>
      </c>
      <c r="M26" s="587">
        <v>0</v>
      </c>
    </row>
    <row r="27" spans="1:13" ht="14.25">
      <c r="A27" s="99">
        <v>16</v>
      </c>
      <c r="B27" s="19" t="s">
        <v>904</v>
      </c>
      <c r="C27" s="587">
        <v>28</v>
      </c>
      <c r="D27" s="587">
        <v>28</v>
      </c>
      <c r="E27" s="587">
        <v>2715</v>
      </c>
      <c r="F27" s="587">
        <v>0</v>
      </c>
      <c r="G27" s="587">
        <v>0</v>
      </c>
      <c r="H27" s="587">
        <v>0</v>
      </c>
      <c r="I27" s="587">
        <v>0</v>
      </c>
      <c r="J27" s="587">
        <v>0</v>
      </c>
      <c r="K27" s="587">
        <v>0</v>
      </c>
      <c r="L27" s="587">
        <v>0</v>
      </c>
      <c r="M27" s="587">
        <v>0</v>
      </c>
    </row>
    <row r="28" spans="1:13" ht="14.25">
      <c r="A28" s="99">
        <v>17</v>
      </c>
      <c r="B28" s="19" t="s">
        <v>905</v>
      </c>
      <c r="C28" s="587">
        <v>0</v>
      </c>
      <c r="D28" s="587">
        <v>0</v>
      </c>
      <c r="E28" s="587">
        <v>0</v>
      </c>
      <c r="F28" s="587">
        <v>2</v>
      </c>
      <c r="G28" s="587">
        <v>2</v>
      </c>
      <c r="H28" s="587">
        <v>2012</v>
      </c>
      <c r="I28" s="587">
        <v>182573</v>
      </c>
      <c r="J28" s="587">
        <v>0</v>
      </c>
      <c r="K28" s="587">
        <v>0</v>
      </c>
      <c r="L28" s="587">
        <v>0</v>
      </c>
      <c r="M28" s="587">
        <v>0</v>
      </c>
    </row>
    <row r="29" spans="1:13" ht="14.25">
      <c r="A29" s="99">
        <v>18</v>
      </c>
      <c r="B29" s="19" t="s">
        <v>906</v>
      </c>
      <c r="C29" s="587">
        <v>2</v>
      </c>
      <c r="D29" s="587">
        <v>23</v>
      </c>
      <c r="E29" s="587">
        <v>1995</v>
      </c>
      <c r="F29" s="587">
        <v>0</v>
      </c>
      <c r="G29" s="587">
        <v>0</v>
      </c>
      <c r="H29" s="587">
        <v>0</v>
      </c>
      <c r="I29" s="587">
        <v>0</v>
      </c>
      <c r="J29" s="587">
        <v>0</v>
      </c>
      <c r="K29" s="587">
        <v>0</v>
      </c>
      <c r="L29" s="587">
        <v>0</v>
      </c>
      <c r="M29" s="587">
        <v>0</v>
      </c>
    </row>
    <row r="30" spans="1:13" ht="14.25">
      <c r="A30" s="99">
        <v>19</v>
      </c>
      <c r="B30" s="19" t="s">
        <v>907</v>
      </c>
      <c r="C30" s="587">
        <v>0</v>
      </c>
      <c r="D30" s="587">
        <v>0</v>
      </c>
      <c r="E30" s="587">
        <v>0</v>
      </c>
      <c r="F30" s="587">
        <v>0</v>
      </c>
      <c r="G30" s="587">
        <v>0</v>
      </c>
      <c r="H30" s="587">
        <v>0</v>
      </c>
      <c r="I30" s="587">
        <v>0</v>
      </c>
      <c r="J30" s="587">
        <v>0</v>
      </c>
      <c r="K30" s="587">
        <v>0</v>
      </c>
      <c r="L30" s="587">
        <v>0</v>
      </c>
      <c r="M30" s="587">
        <v>0</v>
      </c>
    </row>
    <row r="31" spans="1:13" ht="14.25">
      <c r="A31" s="99">
        <v>20</v>
      </c>
      <c r="B31" s="19" t="s">
        <v>908</v>
      </c>
      <c r="C31" s="587">
        <v>1</v>
      </c>
      <c r="D31" s="587">
        <v>3</v>
      </c>
      <c r="E31" s="587">
        <v>497</v>
      </c>
      <c r="F31" s="587">
        <v>0</v>
      </c>
      <c r="G31" s="587">
        <v>1</v>
      </c>
      <c r="H31" s="587">
        <v>147</v>
      </c>
      <c r="I31" s="587">
        <v>15410</v>
      </c>
      <c r="J31" s="587">
        <v>0</v>
      </c>
      <c r="K31" s="587">
        <v>0</v>
      </c>
      <c r="L31" s="587">
        <v>0</v>
      </c>
      <c r="M31" s="587">
        <v>0</v>
      </c>
    </row>
    <row r="32" spans="1:13" ht="14.25">
      <c r="A32" s="99">
        <v>21</v>
      </c>
      <c r="B32" s="19" t="s">
        <v>909</v>
      </c>
      <c r="C32" s="587">
        <v>0</v>
      </c>
      <c r="D32" s="587">
        <v>0</v>
      </c>
      <c r="E32" s="587">
        <v>0</v>
      </c>
      <c r="F32" s="587">
        <v>0</v>
      </c>
      <c r="G32" s="587">
        <v>0</v>
      </c>
      <c r="H32" s="587"/>
      <c r="I32" s="587"/>
      <c r="J32" s="587">
        <v>0</v>
      </c>
      <c r="K32" s="587">
        <v>0</v>
      </c>
      <c r="L32" s="587">
        <v>0</v>
      </c>
      <c r="M32" s="587">
        <v>0</v>
      </c>
    </row>
    <row r="33" spans="1:16" ht="14.25">
      <c r="A33" s="99">
        <v>22</v>
      </c>
      <c r="B33" s="19" t="s">
        <v>910</v>
      </c>
      <c r="C33" s="587">
        <v>5</v>
      </c>
      <c r="D33" s="587">
        <v>6</v>
      </c>
      <c r="E33" s="587">
        <v>336</v>
      </c>
      <c r="F33" s="587">
        <v>0</v>
      </c>
      <c r="G33" s="587">
        <v>2</v>
      </c>
      <c r="H33" s="587">
        <v>392</v>
      </c>
      <c r="I33" s="587">
        <v>47603</v>
      </c>
      <c r="J33" s="587">
        <v>0</v>
      </c>
      <c r="K33" s="587">
        <v>0</v>
      </c>
      <c r="L33" s="587">
        <v>0</v>
      </c>
      <c r="M33" s="587">
        <v>0</v>
      </c>
    </row>
    <row r="34" spans="1:16" ht="14.25">
      <c r="A34" s="99">
        <v>23</v>
      </c>
      <c r="B34" s="19" t="s">
        <v>911</v>
      </c>
      <c r="C34" s="587">
        <v>0</v>
      </c>
      <c r="D34" s="587">
        <v>0</v>
      </c>
      <c r="E34" s="587">
        <v>0</v>
      </c>
      <c r="F34" s="587">
        <v>0</v>
      </c>
      <c r="G34" s="587">
        <v>0</v>
      </c>
      <c r="H34" s="587">
        <v>0</v>
      </c>
      <c r="I34" s="587">
        <v>0</v>
      </c>
      <c r="J34" s="587">
        <v>0</v>
      </c>
      <c r="K34" s="587">
        <v>0</v>
      </c>
      <c r="L34" s="587">
        <v>0</v>
      </c>
      <c r="M34" s="587">
        <v>0</v>
      </c>
    </row>
    <row r="35" spans="1:16" ht="14.25">
      <c r="A35" s="99">
        <v>24</v>
      </c>
      <c r="B35" s="19" t="s">
        <v>912</v>
      </c>
      <c r="C35" s="587">
        <v>11</v>
      </c>
      <c r="D35" s="587">
        <v>69</v>
      </c>
      <c r="E35" s="587">
        <v>4376</v>
      </c>
      <c r="F35" s="587">
        <v>0</v>
      </c>
      <c r="G35" s="587">
        <v>0</v>
      </c>
      <c r="H35" s="587">
        <v>0</v>
      </c>
      <c r="I35" s="587">
        <v>0</v>
      </c>
      <c r="J35" s="587">
        <v>0</v>
      </c>
      <c r="K35" s="587">
        <v>0</v>
      </c>
      <c r="L35" s="587">
        <v>0</v>
      </c>
      <c r="M35" s="587">
        <v>0</v>
      </c>
    </row>
    <row r="36" spans="1:16" ht="14.25">
      <c r="A36" s="99">
        <v>25</v>
      </c>
      <c r="B36" s="19" t="s">
        <v>913</v>
      </c>
      <c r="C36" s="587">
        <v>2</v>
      </c>
      <c r="D36" s="587">
        <v>15</v>
      </c>
      <c r="E36" s="587">
        <v>1648</v>
      </c>
      <c r="F36" s="587">
        <v>0</v>
      </c>
      <c r="G36" s="587">
        <v>0</v>
      </c>
      <c r="H36" s="587">
        <v>0</v>
      </c>
      <c r="I36" s="587">
        <v>0</v>
      </c>
      <c r="J36" s="587">
        <v>0</v>
      </c>
      <c r="K36" s="587">
        <v>0</v>
      </c>
      <c r="L36" s="587">
        <v>0</v>
      </c>
      <c r="M36" s="587">
        <v>0</v>
      </c>
    </row>
    <row r="37" spans="1:16" ht="14.25">
      <c r="A37" s="99">
        <v>26</v>
      </c>
      <c r="B37" s="19" t="s">
        <v>914</v>
      </c>
      <c r="C37" s="587">
        <v>2</v>
      </c>
      <c r="D37" s="587">
        <v>5</v>
      </c>
      <c r="E37" s="587">
        <v>990</v>
      </c>
      <c r="F37" s="587">
        <v>0</v>
      </c>
      <c r="G37" s="587">
        <v>0</v>
      </c>
      <c r="H37" s="587">
        <v>0</v>
      </c>
      <c r="I37" s="587">
        <v>0</v>
      </c>
      <c r="J37" s="587">
        <v>0</v>
      </c>
      <c r="K37" s="587">
        <v>0</v>
      </c>
      <c r="L37" s="587">
        <v>0</v>
      </c>
      <c r="M37" s="587">
        <v>0</v>
      </c>
    </row>
    <row r="38" spans="1:16" ht="14.25">
      <c r="A38" s="99">
        <v>27</v>
      </c>
      <c r="B38" s="19" t="s">
        <v>915</v>
      </c>
      <c r="C38" s="587">
        <v>6</v>
      </c>
      <c r="D38" s="587">
        <v>41</v>
      </c>
      <c r="E38" s="587">
        <v>3527</v>
      </c>
      <c r="F38" s="587">
        <v>0</v>
      </c>
      <c r="G38" s="587">
        <v>0</v>
      </c>
      <c r="H38" s="587">
        <v>0</v>
      </c>
      <c r="I38" s="587">
        <v>0</v>
      </c>
      <c r="J38" s="587">
        <v>0</v>
      </c>
      <c r="K38" s="587">
        <v>0</v>
      </c>
      <c r="L38" s="587">
        <v>0</v>
      </c>
      <c r="M38" s="587">
        <v>0</v>
      </c>
    </row>
    <row r="39" spans="1:16" ht="14.25">
      <c r="A39" s="99">
        <v>28</v>
      </c>
      <c r="B39" s="19" t="s">
        <v>916</v>
      </c>
      <c r="C39" s="587">
        <v>0</v>
      </c>
      <c r="D39" s="587">
        <v>0</v>
      </c>
      <c r="E39" s="587">
        <v>0</v>
      </c>
      <c r="F39" s="587">
        <v>0</v>
      </c>
      <c r="G39" s="587">
        <v>1</v>
      </c>
      <c r="H39" s="587">
        <v>587</v>
      </c>
      <c r="I39" s="587">
        <v>48678</v>
      </c>
      <c r="J39" s="587">
        <v>0</v>
      </c>
      <c r="K39" s="587">
        <v>0</v>
      </c>
      <c r="L39" s="587">
        <v>0</v>
      </c>
      <c r="M39" s="587">
        <v>0</v>
      </c>
    </row>
    <row r="40" spans="1:16" ht="14.25">
      <c r="A40" s="99">
        <v>29</v>
      </c>
      <c r="B40" s="19" t="s">
        <v>917</v>
      </c>
      <c r="C40" s="587">
        <v>4</v>
      </c>
      <c r="D40" s="587">
        <v>21</v>
      </c>
      <c r="E40" s="587">
        <v>2532</v>
      </c>
      <c r="F40" s="587">
        <v>0</v>
      </c>
      <c r="G40" s="587">
        <v>0</v>
      </c>
      <c r="H40" s="587">
        <v>0</v>
      </c>
      <c r="I40" s="587">
        <v>0</v>
      </c>
      <c r="J40" s="587">
        <v>0</v>
      </c>
      <c r="K40" s="587">
        <v>0</v>
      </c>
      <c r="L40" s="587">
        <v>0</v>
      </c>
      <c r="M40" s="587">
        <v>0</v>
      </c>
    </row>
    <row r="41" spans="1:16" ht="14.25">
      <c r="A41" s="99">
        <v>30</v>
      </c>
      <c r="B41" s="19" t="s">
        <v>918</v>
      </c>
      <c r="C41" s="587">
        <v>5</v>
      </c>
      <c r="D41" s="587">
        <v>51</v>
      </c>
      <c r="E41" s="587">
        <v>2479</v>
      </c>
      <c r="F41" s="587">
        <v>0</v>
      </c>
      <c r="G41" s="587">
        <v>0</v>
      </c>
      <c r="H41" s="587">
        <v>0</v>
      </c>
      <c r="I41" s="587">
        <v>0</v>
      </c>
      <c r="J41" s="587">
        <v>0</v>
      </c>
      <c r="K41" s="587">
        <v>0</v>
      </c>
      <c r="L41" s="587">
        <v>0</v>
      </c>
      <c r="M41" s="587">
        <v>0</v>
      </c>
    </row>
    <row r="42" spans="1:16" ht="14.25">
      <c r="A42" s="99">
        <v>31</v>
      </c>
      <c r="B42" s="19" t="s">
        <v>919</v>
      </c>
      <c r="C42" s="587">
        <v>6</v>
      </c>
      <c r="D42" s="587">
        <v>31</v>
      </c>
      <c r="E42" s="587">
        <v>4484</v>
      </c>
      <c r="F42" s="587">
        <v>0</v>
      </c>
      <c r="G42" s="587">
        <v>0</v>
      </c>
      <c r="H42" s="587">
        <v>0</v>
      </c>
      <c r="I42" s="587">
        <v>0</v>
      </c>
      <c r="J42" s="587">
        <v>0</v>
      </c>
      <c r="K42" s="587">
        <v>0</v>
      </c>
      <c r="L42" s="587">
        <v>0</v>
      </c>
      <c r="M42" s="587">
        <v>0</v>
      </c>
    </row>
    <row r="43" spans="1:16" ht="14.25">
      <c r="A43" s="99">
        <v>32</v>
      </c>
      <c r="B43" s="19" t="s">
        <v>920</v>
      </c>
      <c r="C43" s="587">
        <v>2</v>
      </c>
      <c r="D43" s="587">
        <v>18</v>
      </c>
      <c r="E43" s="587">
        <v>1430</v>
      </c>
      <c r="F43" s="587">
        <v>0</v>
      </c>
      <c r="G43" s="587">
        <v>0</v>
      </c>
      <c r="H43" s="587">
        <v>0</v>
      </c>
      <c r="I43" s="587">
        <v>0</v>
      </c>
      <c r="J43" s="587">
        <v>0</v>
      </c>
      <c r="K43" s="587">
        <v>0</v>
      </c>
      <c r="L43" s="587">
        <v>0</v>
      </c>
      <c r="M43" s="587">
        <v>0</v>
      </c>
    </row>
    <row r="44" spans="1:16" ht="14.25">
      <c r="A44" s="99">
        <v>33</v>
      </c>
      <c r="B44" s="19" t="s">
        <v>921</v>
      </c>
      <c r="C44" s="587">
        <v>3</v>
      </c>
      <c r="D44" s="587">
        <v>12</v>
      </c>
      <c r="E44" s="587">
        <v>1289</v>
      </c>
      <c r="F44" s="587">
        <v>0</v>
      </c>
      <c r="G44" s="587">
        <v>1</v>
      </c>
      <c r="H44" s="587">
        <v>199</v>
      </c>
      <c r="I44" s="587">
        <v>22112</v>
      </c>
      <c r="J44" s="587">
        <v>0</v>
      </c>
      <c r="K44" s="587">
        <v>0</v>
      </c>
      <c r="L44" s="587">
        <v>0</v>
      </c>
      <c r="M44" s="587">
        <v>0</v>
      </c>
    </row>
    <row r="45" spans="1:16" ht="14.25">
      <c r="B45" s="96" t="s">
        <v>19</v>
      </c>
      <c r="C45" s="587">
        <f>SUM(C12:C44)</f>
        <v>236</v>
      </c>
      <c r="D45" s="587">
        <f t="shared" ref="D45:M45" si="0">SUM(D12:D44)</f>
        <v>1204</v>
      </c>
      <c r="E45" s="587">
        <f t="shared" si="0"/>
        <v>132226</v>
      </c>
      <c r="F45" s="587">
        <f t="shared" si="0"/>
        <v>4</v>
      </c>
      <c r="G45" s="587">
        <f t="shared" si="0"/>
        <v>11</v>
      </c>
      <c r="H45" s="587">
        <f t="shared" si="0"/>
        <v>4108</v>
      </c>
      <c r="I45" s="587">
        <f t="shared" si="0"/>
        <v>420726</v>
      </c>
      <c r="J45" s="587">
        <f t="shared" si="0"/>
        <v>0</v>
      </c>
      <c r="K45" s="587">
        <f t="shared" si="0"/>
        <v>0</v>
      </c>
      <c r="L45" s="587">
        <f t="shared" si="0"/>
        <v>0</v>
      </c>
      <c r="M45" s="587">
        <f t="shared" si="0"/>
        <v>0</v>
      </c>
    </row>
    <row r="46" spans="1:16">
      <c r="A46" s="101"/>
      <c r="B46" s="101"/>
      <c r="C46" s="101"/>
      <c r="D46" s="101"/>
      <c r="E46" s="10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20.25">
      <c r="A47" s="816" t="s">
        <v>1067</v>
      </c>
      <c r="B47" s="815"/>
      <c r="C47" s="815"/>
      <c r="D47" s="815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50" spans="1:16">
      <c r="A50" s="1048"/>
      <c r="B50" s="1048"/>
      <c r="C50" s="1048"/>
      <c r="D50" s="1048"/>
      <c r="E50" s="1048"/>
      <c r="F50" s="1048"/>
      <c r="G50" s="1048"/>
      <c r="H50" s="1048"/>
      <c r="I50" s="1048"/>
      <c r="J50" s="1048"/>
      <c r="K50" s="1048"/>
      <c r="L50" s="1048"/>
      <c r="M50" s="109"/>
      <c r="N50" s="1048"/>
      <c r="O50" s="1048"/>
      <c r="P50" s="1048"/>
    </row>
    <row r="51" spans="1:16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5.75">
      <c r="A52" s="104" t="s">
        <v>12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2" t="s">
        <v>13</v>
      </c>
      <c r="L52" s="1042"/>
      <c r="M52" s="1042"/>
      <c r="N52" s="148"/>
      <c r="O52" s="92"/>
      <c r="P52" s="92"/>
    </row>
    <row r="53" spans="1:16" ht="15.75">
      <c r="A53" s="894" t="s">
        <v>14</v>
      </c>
      <c r="B53" s="894"/>
      <c r="C53" s="894"/>
      <c r="D53" s="894"/>
      <c r="E53" s="894"/>
      <c r="F53" s="894"/>
      <c r="G53" s="894"/>
      <c r="H53" s="894"/>
      <c r="I53" s="894"/>
      <c r="J53" s="894"/>
      <c r="K53" s="894"/>
      <c r="L53" s="894"/>
      <c r="M53" s="894"/>
      <c r="N53" s="92"/>
      <c r="O53" s="92"/>
      <c r="P53" s="92"/>
    </row>
    <row r="54" spans="1:16" ht="15.6" customHeight="1">
      <c r="A54" s="894" t="s">
        <v>15</v>
      </c>
      <c r="B54" s="894"/>
      <c r="C54" s="894"/>
      <c r="D54" s="894"/>
      <c r="E54" s="894"/>
      <c r="F54" s="894"/>
      <c r="G54" s="894"/>
      <c r="H54" s="894"/>
      <c r="I54" s="894"/>
      <c r="J54" s="894"/>
      <c r="K54" s="894"/>
      <c r="L54" s="894"/>
      <c r="M54" s="894"/>
      <c r="N54" s="148"/>
      <c r="O54" s="92"/>
      <c r="P54" s="92"/>
    </row>
    <row r="55" spans="1:16">
      <c r="A55" s="92"/>
      <c r="B55" s="92"/>
      <c r="C55" s="92"/>
      <c r="D55" s="92"/>
      <c r="E55" s="92"/>
      <c r="F55" s="92"/>
      <c r="G55" s="92"/>
      <c r="L55" s="36" t="s">
        <v>87</v>
      </c>
      <c r="M55" s="36"/>
      <c r="N55" s="36"/>
      <c r="O55" s="36"/>
      <c r="P55" s="36"/>
    </row>
  </sheetData>
  <mergeCells count="15">
    <mergeCell ref="N50:P50"/>
    <mergeCell ref="C9:E9"/>
    <mergeCell ref="L1:M1"/>
    <mergeCell ref="A2:M2"/>
    <mergeCell ref="A3:M3"/>
    <mergeCell ref="A5:M5"/>
    <mergeCell ref="A7:B7"/>
    <mergeCell ref="K52:M52"/>
    <mergeCell ref="A53:M53"/>
    <mergeCell ref="A9:A10"/>
    <mergeCell ref="B9:B10"/>
    <mergeCell ref="A54:M54"/>
    <mergeCell ref="F9:I9"/>
    <mergeCell ref="J9:M9"/>
    <mergeCell ref="A50:L50"/>
  </mergeCells>
  <printOptions horizontalCentered="1"/>
  <pageMargins left="0.70866141732283472" right="0.70866141732283472" top="0.23622047244094491" bottom="0" header="0.31496062992125984" footer="0.31496062992125984"/>
  <pageSetup paperSize="9" scale="62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L49"/>
  <sheetViews>
    <sheetView view="pageBreakPreview" topLeftCell="A19" zoomScale="112" zoomScaleSheetLayoutView="112" workbookViewId="0">
      <selection activeCell="C42" sqref="C42:K42"/>
    </sheetView>
  </sheetViews>
  <sheetFormatPr defaultRowHeight="12.75"/>
  <cols>
    <col min="1" max="1" width="5.85546875" customWidth="1"/>
    <col min="2" max="2" width="11.140625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3.85546875" customWidth="1"/>
    <col min="12" max="12" width="9.140625" hidden="1" customWidth="1"/>
  </cols>
  <sheetData>
    <row r="1" spans="1:12" ht="18">
      <c r="A1" s="919" t="s">
        <v>0</v>
      </c>
      <c r="B1" s="919"/>
      <c r="C1" s="919"/>
      <c r="D1" s="919"/>
      <c r="E1" s="919"/>
      <c r="F1" s="919"/>
      <c r="G1" s="919"/>
      <c r="H1" s="919"/>
      <c r="I1" s="919"/>
      <c r="J1" s="1064" t="s">
        <v>528</v>
      </c>
      <c r="K1" s="1064"/>
    </row>
    <row r="2" spans="1:12" ht="21">
      <c r="A2" s="920" t="s">
        <v>705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</row>
    <row r="3" spans="1:12" ht="1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2" ht="27" customHeight="1">
      <c r="A4" s="1065" t="s">
        <v>838</v>
      </c>
      <c r="B4" s="1065"/>
      <c r="C4" s="1065"/>
      <c r="D4" s="1065"/>
      <c r="E4" s="1065"/>
      <c r="F4" s="1065"/>
      <c r="G4" s="1065"/>
      <c r="H4" s="1065"/>
      <c r="I4" s="1065"/>
      <c r="J4" s="1065"/>
      <c r="K4" s="1065"/>
    </row>
    <row r="5" spans="1:12" ht="15">
      <c r="A5" s="218" t="s">
        <v>922</v>
      </c>
      <c r="B5" s="218"/>
      <c r="C5" s="218"/>
      <c r="D5" s="218"/>
      <c r="E5" s="218"/>
      <c r="F5" s="218"/>
      <c r="G5" s="218"/>
      <c r="H5" s="218"/>
      <c r="I5" s="217"/>
      <c r="J5" s="1005" t="s">
        <v>784</v>
      </c>
      <c r="K5" s="1005"/>
      <c r="L5" s="1005"/>
    </row>
    <row r="6" spans="1:12" ht="27.75" customHeight="1">
      <c r="A6" s="1012" t="s">
        <v>2</v>
      </c>
      <c r="B6" s="1012" t="s">
        <v>3</v>
      </c>
      <c r="C6" s="1012" t="s">
        <v>301</v>
      </c>
      <c r="D6" s="1012" t="s">
        <v>302</v>
      </c>
      <c r="E6" s="1012"/>
      <c r="F6" s="1012"/>
      <c r="G6" s="1012"/>
      <c r="H6" s="1012"/>
      <c r="I6" s="1013" t="s">
        <v>303</v>
      </c>
      <c r="J6" s="1014"/>
      <c r="K6" s="1015"/>
    </row>
    <row r="7" spans="1:12" ht="90" customHeight="1">
      <c r="A7" s="1012"/>
      <c r="B7" s="1012"/>
      <c r="C7" s="1012"/>
      <c r="D7" s="252" t="s">
        <v>304</v>
      </c>
      <c r="E7" s="252" t="s">
        <v>202</v>
      </c>
      <c r="F7" s="252" t="s">
        <v>451</v>
      </c>
      <c r="G7" s="252" t="s">
        <v>305</v>
      </c>
      <c r="H7" s="252" t="s">
        <v>426</v>
      </c>
      <c r="I7" s="252" t="s">
        <v>306</v>
      </c>
      <c r="J7" s="252" t="s">
        <v>307</v>
      </c>
      <c r="K7" s="252" t="s">
        <v>308</v>
      </c>
    </row>
    <row r="8" spans="1:12" ht="15">
      <c r="A8" s="221" t="s">
        <v>264</v>
      </c>
      <c r="B8" s="221" t="s">
        <v>265</v>
      </c>
      <c r="C8" s="221" t="s">
        <v>266</v>
      </c>
      <c r="D8" s="221" t="s">
        <v>267</v>
      </c>
      <c r="E8" s="221" t="s">
        <v>268</v>
      </c>
      <c r="F8" s="221" t="s">
        <v>269</v>
      </c>
      <c r="G8" s="221" t="s">
        <v>270</v>
      </c>
      <c r="H8" s="221" t="s">
        <v>271</v>
      </c>
      <c r="I8" s="221" t="s">
        <v>290</v>
      </c>
      <c r="J8" s="221" t="s">
        <v>291</v>
      </c>
      <c r="K8" s="221" t="s">
        <v>292</v>
      </c>
    </row>
    <row r="9" spans="1:12">
      <c r="A9" s="8">
        <v>1</v>
      </c>
      <c r="B9" s="19" t="s">
        <v>889</v>
      </c>
      <c r="C9" s="8">
        <v>1</v>
      </c>
      <c r="D9" s="8">
        <v>108</v>
      </c>
      <c r="E9" s="8">
        <v>17625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2">
      <c r="A10" s="8">
        <v>2</v>
      </c>
      <c r="B10" s="19" t="s">
        <v>890</v>
      </c>
      <c r="C10" s="8">
        <v>1</v>
      </c>
      <c r="D10" s="8">
        <v>402</v>
      </c>
      <c r="E10" s="8">
        <v>55702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2">
      <c r="A11" s="8">
        <v>3</v>
      </c>
      <c r="B11" s="19" t="s">
        <v>891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2">
      <c r="A12" s="8">
        <v>4</v>
      </c>
      <c r="B12" s="19" t="s">
        <v>892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2">
      <c r="A13" s="8">
        <v>5</v>
      </c>
      <c r="B13" s="19" t="s">
        <v>893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2">
      <c r="A14" s="8">
        <v>6</v>
      </c>
      <c r="B14" s="19" t="s">
        <v>894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2">
      <c r="A15" s="8">
        <v>7</v>
      </c>
      <c r="B15" s="19" t="s">
        <v>895</v>
      </c>
      <c r="C15" s="8">
        <v>1</v>
      </c>
      <c r="D15" s="8">
        <v>82</v>
      </c>
      <c r="E15" s="8">
        <v>12223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2">
      <c r="A16" s="8">
        <v>8</v>
      </c>
      <c r="B16" s="19" t="s">
        <v>896</v>
      </c>
      <c r="C16" s="8">
        <v>1</v>
      </c>
      <c r="D16" s="8">
        <v>179</v>
      </c>
      <c r="E16" s="8">
        <v>18800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>
      <c r="A17" s="8">
        <v>9</v>
      </c>
      <c r="B17" s="19" t="s">
        <v>897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>
      <c r="A18" s="8">
        <v>10</v>
      </c>
      <c r="B18" s="19" t="s">
        <v>898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>
      <c r="A19" s="8">
        <v>11</v>
      </c>
      <c r="B19" s="19" t="s">
        <v>899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>
      <c r="A20" s="8">
        <v>12</v>
      </c>
      <c r="B20" s="19" t="s">
        <v>900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>
      <c r="A21" s="8">
        <v>13</v>
      </c>
      <c r="B21" s="19" t="s">
        <v>901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>
      <c r="A22" s="8">
        <v>14</v>
      </c>
      <c r="B22" s="19" t="s">
        <v>902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>
      <c r="A23" s="8">
        <v>15</v>
      </c>
      <c r="B23" s="19" t="s">
        <v>903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>
      <c r="A24" s="8">
        <v>16</v>
      </c>
      <c r="B24" s="19" t="s">
        <v>904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>
      <c r="A25" s="8">
        <v>17</v>
      </c>
      <c r="B25" s="19" t="s">
        <v>905</v>
      </c>
      <c r="C25" s="8">
        <v>2</v>
      </c>
      <c r="D25" s="8">
        <v>2012</v>
      </c>
      <c r="E25" s="8">
        <v>182573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>
      <c r="A26" s="8">
        <v>18</v>
      </c>
      <c r="B26" s="19" t="s">
        <v>906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>
      <c r="A27" s="8">
        <v>19</v>
      </c>
      <c r="B27" s="19" t="s">
        <v>907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>
      <c r="A28" s="8">
        <v>20</v>
      </c>
      <c r="B28" s="19" t="s">
        <v>908</v>
      </c>
      <c r="C28" s="8">
        <v>1</v>
      </c>
      <c r="D28" s="8">
        <v>147</v>
      </c>
      <c r="E28" s="8">
        <v>15410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>
      <c r="A29" s="8">
        <v>21</v>
      </c>
      <c r="B29" s="19" t="s">
        <v>909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>
      <c r="A30" s="8">
        <v>22</v>
      </c>
      <c r="B30" s="19" t="s">
        <v>910</v>
      </c>
      <c r="C30" s="8">
        <v>2</v>
      </c>
      <c r="D30" s="8">
        <v>392</v>
      </c>
      <c r="E30" s="8">
        <v>47603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>
      <c r="A31" s="8">
        <v>23</v>
      </c>
      <c r="B31" s="19" t="s">
        <v>911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</row>
    <row r="32" spans="1:11">
      <c r="A32" s="8">
        <v>24</v>
      </c>
      <c r="B32" s="19" t="s">
        <v>912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2">
      <c r="A33" s="8">
        <v>25</v>
      </c>
      <c r="B33" s="19" t="s">
        <v>913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</row>
    <row r="34" spans="1:12">
      <c r="A34" s="8">
        <v>26</v>
      </c>
      <c r="B34" s="19" t="s">
        <v>914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</row>
    <row r="35" spans="1:12">
      <c r="A35" s="8">
        <v>27</v>
      </c>
      <c r="B35" s="19" t="s">
        <v>915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</row>
    <row r="36" spans="1:12">
      <c r="A36" s="8">
        <v>28</v>
      </c>
      <c r="B36" s="19" t="s">
        <v>916</v>
      </c>
      <c r="C36" s="8">
        <v>1</v>
      </c>
      <c r="D36" s="8">
        <v>587</v>
      </c>
      <c r="E36" s="8">
        <v>48678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2">
      <c r="A37" s="8">
        <v>29</v>
      </c>
      <c r="B37" s="19" t="s">
        <v>917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2">
      <c r="A38" s="8">
        <v>30</v>
      </c>
      <c r="B38" s="19" t="s">
        <v>918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2">
      <c r="A39" s="8">
        <v>31</v>
      </c>
      <c r="B39" s="19" t="s">
        <v>919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</row>
    <row r="40" spans="1:12">
      <c r="A40" s="8">
        <v>32</v>
      </c>
      <c r="B40" s="19" t="s">
        <v>920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2">
      <c r="A41" s="8">
        <v>33</v>
      </c>
      <c r="B41" s="19" t="s">
        <v>921</v>
      </c>
      <c r="C41" s="8">
        <v>1</v>
      </c>
      <c r="D41" s="8">
        <v>199</v>
      </c>
      <c r="E41" s="8">
        <v>22112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2">
      <c r="A42" s="30" t="s">
        <v>19</v>
      </c>
      <c r="B42" s="9"/>
      <c r="C42" s="8">
        <f>SUM(C9:C41)</f>
        <v>11</v>
      </c>
      <c r="D42" s="8">
        <f t="shared" ref="D42:K42" si="0">SUM(D9:D41)</f>
        <v>4108</v>
      </c>
      <c r="E42" s="8">
        <f t="shared" si="0"/>
        <v>420726</v>
      </c>
      <c r="F42" s="8">
        <f t="shared" si="0"/>
        <v>0</v>
      </c>
      <c r="G42" s="8">
        <f t="shared" si="0"/>
        <v>0</v>
      </c>
      <c r="H42" s="8">
        <f t="shared" si="0"/>
        <v>0</v>
      </c>
      <c r="I42" s="8">
        <f t="shared" si="0"/>
        <v>0</v>
      </c>
      <c r="J42" s="8">
        <f t="shared" si="0"/>
        <v>0</v>
      </c>
      <c r="K42" s="8">
        <f t="shared" si="0"/>
        <v>0</v>
      </c>
    </row>
    <row r="44" spans="1:12">
      <c r="A44" s="14" t="s">
        <v>452</v>
      </c>
    </row>
    <row r="46" spans="1:12">
      <c r="A46" s="224"/>
      <c r="B46" s="224"/>
      <c r="C46" s="224"/>
      <c r="D46" s="224"/>
      <c r="I46" s="917" t="s">
        <v>13</v>
      </c>
      <c r="J46" s="917"/>
      <c r="K46" s="917"/>
    </row>
    <row r="47" spans="1:12" ht="15" customHeight="1">
      <c r="A47" s="224"/>
      <c r="B47" s="224"/>
      <c r="C47" s="224"/>
      <c r="D47" s="224"/>
      <c r="I47" s="917" t="s">
        <v>14</v>
      </c>
      <c r="J47" s="917"/>
      <c r="K47" s="917"/>
      <c r="L47" s="239"/>
    </row>
    <row r="48" spans="1:12" ht="15" customHeight="1">
      <c r="A48" s="224"/>
      <c r="B48" s="224"/>
      <c r="C48" s="224"/>
      <c r="D48" s="224"/>
      <c r="I48" s="917" t="s">
        <v>90</v>
      </c>
      <c r="J48" s="917"/>
      <c r="K48" s="917"/>
      <c r="L48" s="239"/>
    </row>
    <row r="49" spans="1:11">
      <c r="A49" s="224" t="s">
        <v>12</v>
      </c>
      <c r="C49" s="224"/>
      <c r="D49" s="224"/>
      <c r="I49" s="918" t="s">
        <v>87</v>
      </c>
      <c r="J49" s="918"/>
      <c r="K49" s="229"/>
    </row>
  </sheetData>
  <mergeCells count="14">
    <mergeCell ref="I48:K48"/>
    <mergeCell ref="I49:J49"/>
    <mergeCell ref="A1:I1"/>
    <mergeCell ref="J1:K1"/>
    <mergeCell ref="A2:K2"/>
    <mergeCell ref="A4:K4"/>
    <mergeCell ref="J5:L5"/>
    <mergeCell ref="A6:A7"/>
    <mergeCell ref="B6:B7"/>
    <mergeCell ref="C6:C7"/>
    <mergeCell ref="D6:H6"/>
    <mergeCell ref="I6:K6"/>
    <mergeCell ref="I46:K46"/>
    <mergeCell ref="I47:K47"/>
  </mergeCells>
  <printOptions horizontalCentered="1"/>
  <pageMargins left="0.70866141732283472" right="0.70866141732283472" top="0.23622047244094491" bottom="0" header="0.31496062992125984" footer="0.31496062992125984"/>
  <pageSetup paperSize="9" scale="77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V53"/>
  <sheetViews>
    <sheetView view="pageBreakPreview" topLeftCell="A22" zoomScale="84" zoomScaleSheetLayoutView="84" workbookViewId="0">
      <selection activeCell="G37" sqref="G37"/>
    </sheetView>
  </sheetViews>
  <sheetFormatPr defaultRowHeight="12.75"/>
  <cols>
    <col min="1" max="1" width="7.85546875" customWidth="1"/>
    <col min="2" max="2" width="14.28515625" customWidth="1"/>
    <col min="4" max="4" width="11.2851562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  <col min="16" max="16" width="9.85546875" bestFit="1" customWidth="1"/>
    <col min="17" max="17" width="9.85546875" customWidth="1"/>
  </cols>
  <sheetData>
    <row r="1" spans="1:22" ht="18">
      <c r="A1" s="919" t="s">
        <v>0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261" t="s">
        <v>530</v>
      </c>
    </row>
    <row r="2" spans="1:22" ht="21">
      <c r="A2" s="920" t="s">
        <v>705</v>
      </c>
      <c r="B2" s="920"/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920"/>
      <c r="N2" s="920"/>
      <c r="O2" s="920"/>
    </row>
    <row r="3" spans="1:22" ht="1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22" ht="18">
      <c r="A4" s="919" t="s">
        <v>529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919"/>
      <c r="N4" s="919"/>
      <c r="O4" s="919"/>
    </row>
    <row r="5" spans="1:22" ht="15">
      <c r="A5" s="218" t="s">
        <v>1043</v>
      </c>
      <c r="B5" s="218"/>
      <c r="C5" s="218"/>
      <c r="D5" s="218"/>
      <c r="E5" s="218"/>
      <c r="F5" s="218"/>
      <c r="G5" s="218"/>
      <c r="H5" s="218"/>
      <c r="I5" s="218"/>
      <c r="J5" s="218"/>
      <c r="K5" s="217"/>
      <c r="M5" s="1005" t="s">
        <v>784</v>
      </c>
      <c r="N5" s="1005"/>
      <c r="O5" s="1005"/>
    </row>
    <row r="6" spans="1:22" ht="44.25" customHeight="1">
      <c r="A6" s="1012" t="s">
        <v>2</v>
      </c>
      <c r="B6" s="1012" t="s">
        <v>3</v>
      </c>
      <c r="C6" s="1012" t="s">
        <v>309</v>
      </c>
      <c r="D6" s="1010" t="s">
        <v>310</v>
      </c>
      <c r="E6" s="1010" t="s">
        <v>311</v>
      </c>
      <c r="F6" s="1010" t="s">
        <v>312</v>
      </c>
      <c r="G6" s="1010" t="s">
        <v>313</v>
      </c>
      <c r="H6" s="1012" t="s">
        <v>314</v>
      </c>
      <c r="I6" s="1012"/>
      <c r="J6" s="1012" t="s">
        <v>315</v>
      </c>
      <c r="K6" s="1012"/>
      <c r="L6" s="1012" t="s">
        <v>316</v>
      </c>
      <c r="M6" s="1012"/>
      <c r="N6" s="1012" t="s">
        <v>317</v>
      </c>
      <c r="O6" s="1012"/>
    </row>
    <row r="7" spans="1:22" ht="54" customHeight="1">
      <c r="A7" s="1012"/>
      <c r="B7" s="1012"/>
      <c r="C7" s="1012"/>
      <c r="D7" s="1011"/>
      <c r="E7" s="1011"/>
      <c r="F7" s="1011"/>
      <c r="G7" s="1011"/>
      <c r="H7" s="252" t="s">
        <v>318</v>
      </c>
      <c r="I7" s="252" t="s">
        <v>319</v>
      </c>
      <c r="J7" s="252" t="s">
        <v>318</v>
      </c>
      <c r="K7" s="252" t="s">
        <v>319</v>
      </c>
      <c r="L7" s="252" t="s">
        <v>318</v>
      </c>
      <c r="M7" s="252" t="s">
        <v>319</v>
      </c>
      <c r="N7" s="252" t="s">
        <v>318</v>
      </c>
      <c r="O7" s="252" t="s">
        <v>319</v>
      </c>
    </row>
    <row r="8" spans="1:22" ht="15">
      <c r="A8" s="221" t="s">
        <v>264</v>
      </c>
      <c r="B8" s="221" t="s">
        <v>265</v>
      </c>
      <c r="C8" s="221" t="s">
        <v>266</v>
      </c>
      <c r="D8" s="221" t="s">
        <v>267</v>
      </c>
      <c r="E8" s="221" t="s">
        <v>268</v>
      </c>
      <c r="F8" s="221" t="s">
        <v>269</v>
      </c>
      <c r="G8" s="221" t="s">
        <v>270</v>
      </c>
      <c r="H8" s="221" t="s">
        <v>271</v>
      </c>
      <c r="I8" s="221" t="s">
        <v>290</v>
      </c>
      <c r="J8" s="221" t="s">
        <v>291</v>
      </c>
      <c r="K8" s="221" t="s">
        <v>292</v>
      </c>
      <c r="L8" s="221" t="s">
        <v>320</v>
      </c>
      <c r="M8" s="221" t="s">
        <v>321</v>
      </c>
      <c r="N8" s="221" t="s">
        <v>322</v>
      </c>
      <c r="O8" s="221" t="s">
        <v>323</v>
      </c>
    </row>
    <row r="9" spans="1:22" ht="45">
      <c r="A9" s="99">
        <v>1</v>
      </c>
      <c r="B9" s="577" t="s">
        <v>889</v>
      </c>
      <c r="C9" s="221">
        <v>1</v>
      </c>
      <c r="D9" s="221" t="s">
        <v>992</v>
      </c>
      <c r="E9" s="221">
        <v>108</v>
      </c>
      <c r="F9" s="221">
        <v>17625</v>
      </c>
      <c r="G9" s="221">
        <v>20</v>
      </c>
      <c r="H9" s="592">
        <v>383.34375</v>
      </c>
      <c r="I9" s="592">
        <v>280.72262812500003</v>
      </c>
      <c r="J9" s="595">
        <v>166.52439195140528</v>
      </c>
      <c r="K9" s="221">
        <v>121.93225399729474</v>
      </c>
      <c r="L9" s="489">
        <v>0</v>
      </c>
      <c r="M9" s="489">
        <v>0</v>
      </c>
      <c r="N9" s="593">
        <v>2.8750781249999999</v>
      </c>
      <c r="O9" s="593">
        <v>2.2211362984505456</v>
      </c>
      <c r="P9" s="470">
        <f>F9*75/100*232*125/1000000</f>
        <v>383.34375</v>
      </c>
      <c r="Q9" s="470"/>
      <c r="R9">
        <f>P9*73.23/100</f>
        <v>280.72262812500003</v>
      </c>
      <c r="S9">
        <f>3975.1/9150.79*P9</f>
        <v>166.52439195140528</v>
      </c>
      <c r="T9">
        <f>2775.01/6388.86*R9</f>
        <v>121.93225399729474</v>
      </c>
      <c r="U9">
        <f>H9*750/100000</f>
        <v>2.8750781249999999</v>
      </c>
      <c r="V9">
        <f>50.55/6388.86*R9</f>
        <v>2.2211362984505456</v>
      </c>
    </row>
    <row r="10" spans="1:22" ht="30">
      <c r="A10" s="99">
        <v>2</v>
      </c>
      <c r="B10" s="577" t="s">
        <v>890</v>
      </c>
      <c r="C10" s="221">
        <v>1</v>
      </c>
      <c r="D10" s="221" t="s">
        <v>993</v>
      </c>
      <c r="E10" s="221">
        <v>402</v>
      </c>
      <c r="F10" s="221">
        <v>55702</v>
      </c>
      <c r="G10" s="221">
        <v>35</v>
      </c>
      <c r="H10" s="592">
        <v>1211.5184999999999</v>
      </c>
      <c r="I10" s="592">
        <v>842.7322686</v>
      </c>
      <c r="J10" s="595">
        <v>526.28321591359861</v>
      </c>
      <c r="K10" s="221">
        <v>366.04190304493858</v>
      </c>
      <c r="L10" s="489">
        <v>0</v>
      </c>
      <c r="M10" s="489">
        <v>0</v>
      </c>
      <c r="N10" s="593">
        <v>9.0863887499999993</v>
      </c>
      <c r="O10" s="593">
        <v>6.6678744216855588</v>
      </c>
      <c r="P10" s="470">
        <f t="shared" ref="P10:P42" si="0">F10*75/100*232*125/1000000</f>
        <v>1211.5184999999999</v>
      </c>
      <c r="Q10" s="470"/>
      <c r="R10">
        <f>P10*69.56/100</f>
        <v>842.7322686</v>
      </c>
      <c r="S10">
        <f t="shared" ref="S10:S43" si="1">3975.1/9150.79*P10</f>
        <v>526.28321591359861</v>
      </c>
      <c r="T10">
        <f t="shared" ref="T10:T42" si="2">2775.01/6388.86*R10</f>
        <v>366.04190304493858</v>
      </c>
      <c r="U10">
        <f t="shared" ref="U10:U42" si="3">H10*750/100000</f>
        <v>9.0863887499999993</v>
      </c>
      <c r="V10">
        <f t="shared" ref="V10:V42" si="4">50.55/6388.86*R10</f>
        <v>6.6678744216855588</v>
      </c>
    </row>
    <row r="11" spans="1:22" ht="15">
      <c r="A11" s="99">
        <v>3</v>
      </c>
      <c r="B11" s="577" t="s">
        <v>891</v>
      </c>
      <c r="C11" s="221">
        <v>0</v>
      </c>
      <c r="D11" s="221"/>
      <c r="E11" s="221">
        <v>0</v>
      </c>
      <c r="F11" s="221">
        <v>0</v>
      </c>
      <c r="G11" s="221">
        <v>0</v>
      </c>
      <c r="H11" s="592">
        <v>0</v>
      </c>
      <c r="I11" s="592"/>
      <c r="J11" s="595">
        <v>0</v>
      </c>
      <c r="K11" s="221">
        <v>0</v>
      </c>
      <c r="L11" s="489">
        <v>0</v>
      </c>
      <c r="M11" s="489">
        <v>0</v>
      </c>
      <c r="N11" s="593">
        <v>0</v>
      </c>
      <c r="O11" s="593">
        <v>0</v>
      </c>
      <c r="P11" s="470">
        <f t="shared" si="0"/>
        <v>0</v>
      </c>
      <c r="Q11" s="470"/>
      <c r="S11">
        <f t="shared" si="1"/>
        <v>0</v>
      </c>
      <c r="T11">
        <f t="shared" si="2"/>
        <v>0</v>
      </c>
      <c r="U11">
        <f t="shared" si="3"/>
        <v>0</v>
      </c>
      <c r="V11">
        <f t="shared" si="4"/>
        <v>0</v>
      </c>
    </row>
    <row r="12" spans="1:22" ht="15">
      <c r="A12" s="99">
        <v>4</v>
      </c>
      <c r="B12" s="577" t="s">
        <v>892</v>
      </c>
      <c r="C12" s="221">
        <v>0</v>
      </c>
      <c r="D12" s="221"/>
      <c r="E12" s="221">
        <v>0</v>
      </c>
      <c r="F12" s="221">
        <v>0</v>
      </c>
      <c r="G12" s="221">
        <v>0</v>
      </c>
      <c r="H12" s="592">
        <v>0</v>
      </c>
      <c r="I12" s="592"/>
      <c r="J12" s="595">
        <v>0</v>
      </c>
      <c r="K12" s="221">
        <v>0</v>
      </c>
      <c r="L12" s="489">
        <v>0</v>
      </c>
      <c r="M12" s="489">
        <v>0</v>
      </c>
      <c r="N12" s="593">
        <v>0</v>
      </c>
      <c r="O12" s="593">
        <v>0</v>
      </c>
      <c r="P12" s="470">
        <f t="shared" si="0"/>
        <v>0</v>
      </c>
      <c r="Q12" s="470"/>
      <c r="S12">
        <f t="shared" si="1"/>
        <v>0</v>
      </c>
      <c r="T12">
        <f t="shared" si="2"/>
        <v>0</v>
      </c>
      <c r="U12">
        <f t="shared" si="3"/>
        <v>0</v>
      </c>
      <c r="V12">
        <f t="shared" si="4"/>
        <v>0</v>
      </c>
    </row>
    <row r="13" spans="1:22" ht="15">
      <c r="A13" s="99">
        <v>5</v>
      </c>
      <c r="B13" s="577" t="s">
        <v>893</v>
      </c>
      <c r="C13" s="221">
        <v>0</v>
      </c>
      <c r="D13" s="221"/>
      <c r="E13" s="221">
        <v>0</v>
      </c>
      <c r="F13" s="221">
        <v>0</v>
      </c>
      <c r="G13" s="221">
        <v>0</v>
      </c>
      <c r="H13" s="592">
        <v>0</v>
      </c>
      <c r="I13" s="592"/>
      <c r="J13" s="595">
        <v>0</v>
      </c>
      <c r="K13" s="221">
        <v>0</v>
      </c>
      <c r="L13" s="489">
        <v>0</v>
      </c>
      <c r="M13" s="489">
        <v>0</v>
      </c>
      <c r="N13" s="593">
        <v>0</v>
      </c>
      <c r="O13" s="593">
        <v>0</v>
      </c>
      <c r="P13" s="470">
        <f t="shared" si="0"/>
        <v>0</v>
      </c>
      <c r="Q13" s="470"/>
      <c r="S13">
        <f t="shared" si="1"/>
        <v>0</v>
      </c>
      <c r="T13">
        <f t="shared" si="2"/>
        <v>0</v>
      </c>
      <c r="U13">
        <f t="shared" si="3"/>
        <v>0</v>
      </c>
      <c r="V13">
        <f t="shared" si="4"/>
        <v>0</v>
      </c>
    </row>
    <row r="14" spans="1:22" ht="15">
      <c r="A14" s="99">
        <v>6</v>
      </c>
      <c r="B14" s="577" t="s">
        <v>894</v>
      </c>
      <c r="C14" s="221">
        <v>0</v>
      </c>
      <c r="D14" s="221"/>
      <c r="E14" s="221">
        <v>0</v>
      </c>
      <c r="F14" s="221">
        <v>0</v>
      </c>
      <c r="G14" s="221">
        <v>0</v>
      </c>
      <c r="H14" s="592">
        <v>0</v>
      </c>
      <c r="I14" s="592"/>
      <c r="J14" s="595">
        <v>0</v>
      </c>
      <c r="K14" s="221">
        <v>0</v>
      </c>
      <c r="L14" s="489">
        <v>0</v>
      </c>
      <c r="M14" s="489">
        <v>0</v>
      </c>
      <c r="N14" s="593">
        <v>0</v>
      </c>
      <c r="O14" s="593">
        <v>0</v>
      </c>
      <c r="P14" s="470">
        <f t="shared" si="0"/>
        <v>0</v>
      </c>
      <c r="Q14" s="470"/>
      <c r="S14">
        <f t="shared" si="1"/>
        <v>0</v>
      </c>
      <c r="T14">
        <f t="shared" si="2"/>
        <v>0</v>
      </c>
      <c r="U14">
        <f t="shared" si="3"/>
        <v>0</v>
      </c>
      <c r="V14">
        <f t="shared" si="4"/>
        <v>0</v>
      </c>
    </row>
    <row r="15" spans="1:22" ht="39.75">
      <c r="A15" s="99">
        <v>7</v>
      </c>
      <c r="B15" s="575" t="s">
        <v>895</v>
      </c>
      <c r="C15" s="9">
        <v>1</v>
      </c>
      <c r="D15" s="591" t="s">
        <v>992</v>
      </c>
      <c r="E15" s="9">
        <v>82</v>
      </c>
      <c r="F15" s="9">
        <v>12223</v>
      </c>
      <c r="G15" s="9">
        <v>18</v>
      </c>
      <c r="H15" s="472">
        <v>265.85025000000002</v>
      </c>
      <c r="I15" s="472">
        <v>192.980696475</v>
      </c>
      <c r="J15" s="594">
        <v>115.48525633032776</v>
      </c>
      <c r="K15" s="9">
        <v>83.821427066032101</v>
      </c>
      <c r="L15" s="489">
        <v>0</v>
      </c>
      <c r="M15" s="489">
        <v>0</v>
      </c>
      <c r="N15" s="429">
        <v>1.993876875</v>
      </c>
      <c r="O15" s="429">
        <v>1.5269037366308309</v>
      </c>
      <c r="P15" s="470">
        <f t="shared" si="0"/>
        <v>265.85025000000002</v>
      </c>
      <c r="Q15" s="470"/>
      <c r="R15">
        <f>P15*72.59/100</f>
        <v>192.980696475</v>
      </c>
      <c r="S15">
        <f t="shared" si="1"/>
        <v>115.48525633032776</v>
      </c>
      <c r="T15">
        <f t="shared" si="2"/>
        <v>83.821427066032101</v>
      </c>
      <c r="U15">
        <f t="shared" si="3"/>
        <v>1.993876875</v>
      </c>
      <c r="V15">
        <f t="shared" si="4"/>
        <v>1.5269037366308309</v>
      </c>
    </row>
    <row r="16" spans="1:22" ht="39.75">
      <c r="A16" s="99">
        <v>8</v>
      </c>
      <c r="B16" s="575" t="s">
        <v>896</v>
      </c>
      <c r="C16" s="9">
        <v>1</v>
      </c>
      <c r="D16" s="591" t="s">
        <v>992</v>
      </c>
      <c r="E16" s="9">
        <v>179</v>
      </c>
      <c r="F16" s="9">
        <v>18800</v>
      </c>
      <c r="G16" s="9">
        <v>13</v>
      </c>
      <c r="H16" s="472">
        <v>408.9</v>
      </c>
      <c r="I16" s="472">
        <v>313.05383999999998</v>
      </c>
      <c r="J16" s="594">
        <v>177.62601808149893</v>
      </c>
      <c r="K16" s="9">
        <v>135.97535969459341</v>
      </c>
      <c r="L16" s="489">
        <v>0</v>
      </c>
      <c r="M16" s="489">
        <v>0</v>
      </c>
      <c r="N16" s="429">
        <v>3.0667499999999999</v>
      </c>
      <c r="O16" s="429">
        <v>2.4769476263370929</v>
      </c>
      <c r="P16" s="470">
        <f t="shared" si="0"/>
        <v>408.9</v>
      </c>
      <c r="Q16" s="470"/>
      <c r="R16">
        <f>P16*76.56/100</f>
        <v>313.05383999999998</v>
      </c>
      <c r="S16">
        <f t="shared" si="1"/>
        <v>177.62601808149893</v>
      </c>
      <c r="T16">
        <f t="shared" si="2"/>
        <v>135.97535969459341</v>
      </c>
      <c r="U16">
        <f t="shared" si="3"/>
        <v>3.0667499999999999</v>
      </c>
      <c r="V16">
        <f t="shared" si="4"/>
        <v>2.4769476263370929</v>
      </c>
    </row>
    <row r="17" spans="1:22" ht="15">
      <c r="A17" s="99">
        <v>9</v>
      </c>
      <c r="B17" s="575" t="s">
        <v>897</v>
      </c>
      <c r="C17" s="9">
        <v>0</v>
      </c>
      <c r="D17" s="9"/>
      <c r="E17" s="9">
        <v>0</v>
      </c>
      <c r="F17" s="9">
        <v>0</v>
      </c>
      <c r="G17" s="9">
        <v>0</v>
      </c>
      <c r="H17" s="472">
        <v>0</v>
      </c>
      <c r="I17" s="472"/>
      <c r="J17" s="594">
        <v>0</v>
      </c>
      <c r="K17" s="9">
        <v>0</v>
      </c>
      <c r="L17" s="489">
        <v>0</v>
      </c>
      <c r="M17" s="489">
        <v>0</v>
      </c>
      <c r="N17" s="429">
        <v>0</v>
      </c>
      <c r="O17" s="429">
        <v>0</v>
      </c>
      <c r="P17" s="470">
        <f t="shared" si="0"/>
        <v>0</v>
      </c>
      <c r="Q17" s="470"/>
      <c r="S17">
        <f t="shared" si="1"/>
        <v>0</v>
      </c>
      <c r="T17">
        <f t="shared" si="2"/>
        <v>0</v>
      </c>
      <c r="U17">
        <f t="shared" si="3"/>
        <v>0</v>
      </c>
      <c r="V17">
        <f t="shared" si="4"/>
        <v>0</v>
      </c>
    </row>
    <row r="18" spans="1:22" ht="15">
      <c r="A18" s="99">
        <v>10</v>
      </c>
      <c r="B18" s="575" t="s">
        <v>898</v>
      </c>
      <c r="C18" s="9">
        <v>0</v>
      </c>
      <c r="D18" s="9"/>
      <c r="E18" s="9">
        <v>0</v>
      </c>
      <c r="F18" s="9">
        <v>0</v>
      </c>
      <c r="G18" s="9">
        <v>0</v>
      </c>
      <c r="H18" s="472">
        <v>0</v>
      </c>
      <c r="I18" s="472"/>
      <c r="J18" s="594">
        <v>0</v>
      </c>
      <c r="K18" s="9">
        <v>0</v>
      </c>
      <c r="L18" s="489">
        <v>0</v>
      </c>
      <c r="M18" s="489">
        <v>0</v>
      </c>
      <c r="N18" s="429">
        <v>0</v>
      </c>
      <c r="O18" s="429">
        <v>0</v>
      </c>
      <c r="P18" s="470">
        <f t="shared" si="0"/>
        <v>0</v>
      </c>
      <c r="Q18" s="470"/>
      <c r="S18">
        <f t="shared" si="1"/>
        <v>0</v>
      </c>
      <c r="T18">
        <f t="shared" si="2"/>
        <v>0</v>
      </c>
      <c r="U18">
        <f t="shared" si="3"/>
        <v>0</v>
      </c>
      <c r="V18">
        <f t="shared" si="4"/>
        <v>0</v>
      </c>
    </row>
    <row r="19" spans="1:22" ht="15">
      <c r="A19" s="99">
        <v>11</v>
      </c>
      <c r="B19" s="575" t="s">
        <v>899</v>
      </c>
      <c r="C19" s="9">
        <v>0</v>
      </c>
      <c r="D19" s="9"/>
      <c r="E19" s="9">
        <v>0</v>
      </c>
      <c r="F19" s="9">
        <v>0</v>
      </c>
      <c r="G19" s="9">
        <v>0</v>
      </c>
      <c r="H19" s="472">
        <v>0</v>
      </c>
      <c r="I19" s="472"/>
      <c r="J19" s="594">
        <v>0</v>
      </c>
      <c r="K19" s="9">
        <v>0</v>
      </c>
      <c r="L19" s="489">
        <v>0</v>
      </c>
      <c r="M19" s="489">
        <v>0</v>
      </c>
      <c r="N19" s="429">
        <v>0</v>
      </c>
      <c r="O19" s="429">
        <v>0</v>
      </c>
      <c r="P19" s="470">
        <f t="shared" si="0"/>
        <v>0</v>
      </c>
      <c r="Q19" s="470"/>
      <c r="S19">
        <f t="shared" si="1"/>
        <v>0</v>
      </c>
      <c r="T19">
        <f t="shared" si="2"/>
        <v>0</v>
      </c>
      <c r="U19">
        <f t="shared" si="3"/>
        <v>0</v>
      </c>
      <c r="V19">
        <f t="shared" si="4"/>
        <v>0</v>
      </c>
    </row>
    <row r="20" spans="1:22" ht="15">
      <c r="A20" s="99">
        <v>12</v>
      </c>
      <c r="B20" s="575" t="s">
        <v>900</v>
      </c>
      <c r="C20" s="9">
        <v>0</v>
      </c>
      <c r="D20" s="9"/>
      <c r="E20" s="9">
        <v>0</v>
      </c>
      <c r="F20" s="9">
        <v>0</v>
      </c>
      <c r="G20" s="9">
        <v>0</v>
      </c>
      <c r="H20" s="472">
        <v>0</v>
      </c>
      <c r="I20" s="472"/>
      <c r="J20" s="594">
        <v>0</v>
      </c>
      <c r="K20" s="9">
        <v>0</v>
      </c>
      <c r="L20" s="489">
        <v>0</v>
      </c>
      <c r="M20" s="489">
        <v>0</v>
      </c>
      <c r="N20" s="429">
        <v>0</v>
      </c>
      <c r="O20" s="429">
        <v>0</v>
      </c>
      <c r="P20" s="470">
        <f t="shared" si="0"/>
        <v>0</v>
      </c>
      <c r="Q20" s="470"/>
      <c r="S20">
        <f t="shared" si="1"/>
        <v>0</v>
      </c>
      <c r="T20">
        <f t="shared" si="2"/>
        <v>0</v>
      </c>
      <c r="U20">
        <f t="shared" si="3"/>
        <v>0</v>
      </c>
      <c r="V20">
        <f t="shared" si="4"/>
        <v>0</v>
      </c>
    </row>
    <row r="21" spans="1:22" ht="15">
      <c r="A21" s="99">
        <v>13</v>
      </c>
      <c r="B21" s="575" t="s">
        <v>901</v>
      </c>
      <c r="C21" s="9">
        <v>0</v>
      </c>
      <c r="D21" s="9"/>
      <c r="E21" s="9">
        <v>0</v>
      </c>
      <c r="F21" s="9">
        <v>0</v>
      </c>
      <c r="G21" s="9">
        <v>0</v>
      </c>
      <c r="H21" s="472">
        <v>0</v>
      </c>
      <c r="I21" s="472"/>
      <c r="J21" s="594">
        <v>0</v>
      </c>
      <c r="K21" s="9">
        <v>0</v>
      </c>
      <c r="L21" s="489">
        <v>0</v>
      </c>
      <c r="M21" s="489">
        <v>0</v>
      </c>
      <c r="N21" s="429">
        <v>0</v>
      </c>
      <c r="O21" s="429">
        <v>0</v>
      </c>
      <c r="P21" s="470">
        <f t="shared" si="0"/>
        <v>0</v>
      </c>
      <c r="Q21" s="470"/>
      <c r="S21">
        <f t="shared" si="1"/>
        <v>0</v>
      </c>
      <c r="T21">
        <f t="shared" si="2"/>
        <v>0</v>
      </c>
      <c r="U21">
        <f t="shared" si="3"/>
        <v>0</v>
      </c>
      <c r="V21">
        <f t="shared" si="4"/>
        <v>0</v>
      </c>
    </row>
    <row r="22" spans="1:22" ht="15">
      <c r="A22" s="99">
        <v>14</v>
      </c>
      <c r="B22" s="575" t="s">
        <v>902</v>
      </c>
      <c r="C22" s="9">
        <v>0</v>
      </c>
      <c r="D22" s="9"/>
      <c r="E22" s="9">
        <v>0</v>
      </c>
      <c r="F22" s="9">
        <v>0</v>
      </c>
      <c r="G22" s="9">
        <v>0</v>
      </c>
      <c r="H22" s="472">
        <v>0</v>
      </c>
      <c r="I22" s="472"/>
      <c r="J22" s="594">
        <v>0</v>
      </c>
      <c r="K22" s="9">
        <v>0</v>
      </c>
      <c r="L22" s="489">
        <v>0</v>
      </c>
      <c r="M22" s="489">
        <v>0</v>
      </c>
      <c r="N22" s="429">
        <v>0</v>
      </c>
      <c r="O22" s="429">
        <v>0</v>
      </c>
      <c r="P22" s="470">
        <f t="shared" si="0"/>
        <v>0</v>
      </c>
      <c r="Q22" s="470"/>
      <c r="S22">
        <f t="shared" si="1"/>
        <v>0</v>
      </c>
      <c r="T22">
        <f t="shared" si="2"/>
        <v>0</v>
      </c>
      <c r="U22">
        <f t="shared" si="3"/>
        <v>0</v>
      </c>
      <c r="V22">
        <f t="shared" si="4"/>
        <v>0</v>
      </c>
    </row>
    <row r="23" spans="1:22" ht="15">
      <c r="A23" s="99">
        <v>15</v>
      </c>
      <c r="B23" s="575" t="s">
        <v>903</v>
      </c>
      <c r="C23" s="9">
        <v>0</v>
      </c>
      <c r="D23" s="9"/>
      <c r="E23" s="9">
        <v>0</v>
      </c>
      <c r="F23" s="9">
        <v>0</v>
      </c>
      <c r="G23" s="9">
        <v>0</v>
      </c>
      <c r="H23" s="472">
        <v>0</v>
      </c>
      <c r="I23" s="472"/>
      <c r="J23" s="594">
        <v>0</v>
      </c>
      <c r="K23" s="9">
        <v>0</v>
      </c>
      <c r="L23" s="489">
        <v>0</v>
      </c>
      <c r="M23" s="489">
        <v>0</v>
      </c>
      <c r="N23" s="429">
        <v>0</v>
      </c>
      <c r="O23" s="429">
        <v>0</v>
      </c>
      <c r="P23" s="470">
        <f t="shared" si="0"/>
        <v>0</v>
      </c>
      <c r="Q23" s="470"/>
      <c r="S23">
        <f t="shared" si="1"/>
        <v>0</v>
      </c>
      <c r="T23">
        <f t="shared" si="2"/>
        <v>0</v>
      </c>
      <c r="U23">
        <f t="shared" si="3"/>
        <v>0</v>
      </c>
      <c r="V23">
        <f t="shared" si="4"/>
        <v>0</v>
      </c>
    </row>
    <row r="24" spans="1:22" ht="15">
      <c r="A24" s="99">
        <v>16</v>
      </c>
      <c r="B24" s="575" t="s">
        <v>904</v>
      </c>
      <c r="C24" s="9">
        <v>0</v>
      </c>
      <c r="D24" s="9"/>
      <c r="E24" s="9">
        <v>0</v>
      </c>
      <c r="F24" s="9">
        <v>0</v>
      </c>
      <c r="G24" s="9">
        <v>0</v>
      </c>
      <c r="H24" s="472">
        <v>0</v>
      </c>
      <c r="I24" s="472"/>
      <c r="J24" s="594">
        <v>0</v>
      </c>
      <c r="K24" s="9">
        <v>0</v>
      </c>
      <c r="L24" s="489">
        <v>0</v>
      </c>
      <c r="M24" s="489">
        <v>0</v>
      </c>
      <c r="N24" s="429">
        <v>0</v>
      </c>
      <c r="O24" s="429">
        <v>0</v>
      </c>
      <c r="P24" s="470">
        <f t="shared" si="0"/>
        <v>0</v>
      </c>
      <c r="Q24" s="470"/>
      <c r="S24">
        <f t="shared" si="1"/>
        <v>0</v>
      </c>
      <c r="T24">
        <f t="shared" si="2"/>
        <v>0</v>
      </c>
      <c r="U24">
        <f t="shared" si="3"/>
        <v>0</v>
      </c>
      <c r="V24">
        <f t="shared" si="4"/>
        <v>0</v>
      </c>
    </row>
    <row r="25" spans="1:22" ht="52.5">
      <c r="A25" s="99">
        <v>17</v>
      </c>
      <c r="B25" s="575" t="s">
        <v>905</v>
      </c>
      <c r="C25" s="9">
        <v>2</v>
      </c>
      <c r="D25" s="591" t="s">
        <v>994</v>
      </c>
      <c r="E25" s="9">
        <v>2012</v>
      </c>
      <c r="F25" s="9">
        <v>182573</v>
      </c>
      <c r="G25" s="9">
        <v>25</v>
      </c>
      <c r="H25" s="472">
        <v>3970.9627500000001</v>
      </c>
      <c r="I25" s="472">
        <v>2700.2546700000003</v>
      </c>
      <c r="J25" s="594">
        <v>1724.9848403826334</v>
      </c>
      <c r="K25" s="9">
        <v>1172.8592756449041</v>
      </c>
      <c r="L25" s="489">
        <v>0</v>
      </c>
      <c r="M25" s="489">
        <v>0</v>
      </c>
      <c r="N25" s="429">
        <v>29.782220625000001</v>
      </c>
      <c r="O25" s="429">
        <v>21.364981165419184</v>
      </c>
      <c r="P25" s="470">
        <f t="shared" si="0"/>
        <v>3970.9627500000001</v>
      </c>
      <c r="Q25" s="470"/>
      <c r="R25">
        <f>P25*68/100</f>
        <v>2700.2546700000003</v>
      </c>
      <c r="S25">
        <f t="shared" si="1"/>
        <v>1724.9848403826334</v>
      </c>
      <c r="T25">
        <f t="shared" si="2"/>
        <v>1172.8592756449041</v>
      </c>
      <c r="U25">
        <f t="shared" si="3"/>
        <v>29.782220625000001</v>
      </c>
      <c r="V25">
        <f t="shared" si="4"/>
        <v>21.364981165419184</v>
      </c>
    </row>
    <row r="26" spans="1:22" ht="15">
      <c r="A26" s="99">
        <v>18</v>
      </c>
      <c r="B26" s="575" t="s">
        <v>906</v>
      </c>
      <c r="C26" s="9">
        <v>0</v>
      </c>
      <c r="D26" s="9"/>
      <c r="E26" s="9">
        <v>0</v>
      </c>
      <c r="F26" s="9">
        <v>0</v>
      </c>
      <c r="G26" s="9">
        <v>0</v>
      </c>
      <c r="H26" s="472">
        <v>0</v>
      </c>
      <c r="I26" s="472"/>
      <c r="J26" s="594">
        <v>0</v>
      </c>
      <c r="K26" s="9">
        <v>0</v>
      </c>
      <c r="L26" s="489">
        <v>0</v>
      </c>
      <c r="M26" s="489">
        <v>0</v>
      </c>
      <c r="N26" s="429">
        <v>0</v>
      </c>
      <c r="O26" s="429">
        <v>0</v>
      </c>
      <c r="P26" s="470">
        <f t="shared" si="0"/>
        <v>0</v>
      </c>
      <c r="Q26" s="470"/>
      <c r="S26">
        <f t="shared" si="1"/>
        <v>0</v>
      </c>
      <c r="T26">
        <f t="shared" si="2"/>
        <v>0</v>
      </c>
      <c r="U26">
        <f t="shared" si="3"/>
        <v>0</v>
      </c>
      <c r="V26">
        <f t="shared" si="4"/>
        <v>0</v>
      </c>
    </row>
    <row r="27" spans="1:22" ht="15">
      <c r="A27" s="99">
        <v>19</v>
      </c>
      <c r="B27" s="575" t="s">
        <v>907</v>
      </c>
      <c r="C27" s="9">
        <v>0</v>
      </c>
      <c r="D27" s="9"/>
      <c r="E27" s="9">
        <v>0</v>
      </c>
      <c r="F27" s="9">
        <v>0</v>
      </c>
      <c r="G27" s="9">
        <v>0</v>
      </c>
      <c r="H27" s="472">
        <v>0</v>
      </c>
      <c r="I27" s="472"/>
      <c r="J27" s="594">
        <v>0</v>
      </c>
      <c r="K27" s="9">
        <v>0</v>
      </c>
      <c r="L27" s="489">
        <v>0</v>
      </c>
      <c r="M27" s="489">
        <v>0</v>
      </c>
      <c r="N27" s="429">
        <v>0</v>
      </c>
      <c r="O27" s="429">
        <v>0</v>
      </c>
      <c r="P27" s="470">
        <f t="shared" si="0"/>
        <v>0</v>
      </c>
      <c r="Q27" s="470"/>
      <c r="S27">
        <f t="shared" si="1"/>
        <v>0</v>
      </c>
      <c r="T27">
        <f t="shared" si="2"/>
        <v>0</v>
      </c>
      <c r="U27">
        <f t="shared" si="3"/>
        <v>0</v>
      </c>
      <c r="V27">
        <f t="shared" si="4"/>
        <v>0</v>
      </c>
    </row>
    <row r="28" spans="1:22" ht="39.75">
      <c r="A28" s="99">
        <v>20</v>
      </c>
      <c r="B28" s="575" t="s">
        <v>908</v>
      </c>
      <c r="C28" s="9">
        <v>1</v>
      </c>
      <c r="D28" s="591" t="s">
        <v>992</v>
      </c>
      <c r="E28" s="9">
        <v>147</v>
      </c>
      <c r="F28" s="9">
        <v>15410</v>
      </c>
      <c r="G28" s="9">
        <v>12</v>
      </c>
      <c r="H28" s="472">
        <v>335.16750000000002</v>
      </c>
      <c r="I28" s="472">
        <v>245.51019374999998</v>
      </c>
      <c r="J28" s="594">
        <v>145.59664567212229</v>
      </c>
      <c r="K28" s="9">
        <v>106.63768540211987</v>
      </c>
      <c r="L28" s="489">
        <v>0</v>
      </c>
      <c r="M28" s="489">
        <v>0</v>
      </c>
      <c r="N28" s="429">
        <v>2.5137562500000001</v>
      </c>
      <c r="O28" s="429">
        <v>1.9425281339804754</v>
      </c>
      <c r="P28" s="470">
        <f t="shared" si="0"/>
        <v>335.16750000000002</v>
      </c>
      <c r="Q28" s="470"/>
      <c r="R28">
        <f>P28*73.25/100</f>
        <v>245.51019374999998</v>
      </c>
      <c r="S28">
        <f t="shared" si="1"/>
        <v>145.59664567212229</v>
      </c>
      <c r="T28">
        <f t="shared" si="2"/>
        <v>106.63768540211987</v>
      </c>
      <c r="U28">
        <f t="shared" si="3"/>
        <v>2.5137562500000001</v>
      </c>
      <c r="V28">
        <f t="shared" si="4"/>
        <v>1.9425281339804754</v>
      </c>
    </row>
    <row r="29" spans="1:22" ht="15">
      <c r="A29" s="99">
        <v>21</v>
      </c>
      <c r="B29" s="575" t="s">
        <v>909</v>
      </c>
      <c r="C29" s="9">
        <v>0</v>
      </c>
      <c r="D29" s="9"/>
      <c r="E29" s="9"/>
      <c r="F29" s="9"/>
      <c r="G29" s="9">
        <v>0</v>
      </c>
      <c r="H29" s="472">
        <v>0</v>
      </c>
      <c r="I29" s="472"/>
      <c r="J29" s="594">
        <v>0</v>
      </c>
      <c r="K29" s="9">
        <v>0</v>
      </c>
      <c r="L29" s="489">
        <v>0</v>
      </c>
      <c r="M29" s="489">
        <v>0</v>
      </c>
      <c r="N29" s="429">
        <v>0</v>
      </c>
      <c r="O29" s="429">
        <v>0</v>
      </c>
      <c r="P29" s="470">
        <f t="shared" si="0"/>
        <v>0</v>
      </c>
      <c r="Q29" s="470"/>
      <c r="S29">
        <f t="shared" si="1"/>
        <v>0</v>
      </c>
      <c r="T29">
        <f t="shared" si="2"/>
        <v>0</v>
      </c>
      <c r="U29">
        <f t="shared" si="3"/>
        <v>0</v>
      </c>
      <c r="V29">
        <f t="shared" si="4"/>
        <v>0</v>
      </c>
    </row>
    <row r="30" spans="1:22" ht="65.25">
      <c r="A30" s="99">
        <v>22</v>
      </c>
      <c r="B30" s="575" t="s">
        <v>910</v>
      </c>
      <c r="C30" s="9">
        <v>2</v>
      </c>
      <c r="D30" s="591" t="s">
        <v>995</v>
      </c>
      <c r="E30" s="9">
        <v>392</v>
      </c>
      <c r="F30" s="9">
        <v>47603</v>
      </c>
      <c r="G30" s="9">
        <v>14</v>
      </c>
      <c r="H30" s="472">
        <v>1035.3652500000001</v>
      </c>
      <c r="I30" s="472">
        <v>737.49066757500009</v>
      </c>
      <c r="J30" s="594">
        <v>449.76230525178698</v>
      </c>
      <c r="K30" s="9">
        <v>320.33007100285516</v>
      </c>
      <c r="L30" s="489">
        <v>0</v>
      </c>
      <c r="M30" s="489">
        <v>0</v>
      </c>
      <c r="N30" s="429">
        <v>7.7652393750000002</v>
      </c>
      <c r="O30" s="429">
        <v>5.8351808062653205</v>
      </c>
      <c r="P30" s="470">
        <f t="shared" si="0"/>
        <v>1035.3652500000001</v>
      </c>
      <c r="Q30" s="470"/>
      <c r="R30">
        <f>P30*71.23/100</f>
        <v>737.49066757500009</v>
      </c>
      <c r="S30">
        <f t="shared" si="1"/>
        <v>449.76230525178698</v>
      </c>
      <c r="T30">
        <f t="shared" si="2"/>
        <v>320.33007100285516</v>
      </c>
      <c r="U30">
        <f t="shared" si="3"/>
        <v>7.7652393750000002</v>
      </c>
      <c r="V30">
        <f t="shared" si="4"/>
        <v>5.8351808062653205</v>
      </c>
    </row>
    <row r="31" spans="1:22" ht="15">
      <c r="A31" s="99">
        <v>23</v>
      </c>
      <c r="B31" s="575" t="s">
        <v>911</v>
      </c>
      <c r="C31" s="9">
        <v>0</v>
      </c>
      <c r="D31" s="9"/>
      <c r="E31" s="9">
        <v>0</v>
      </c>
      <c r="F31" s="9">
        <v>0</v>
      </c>
      <c r="G31" s="9">
        <v>0</v>
      </c>
      <c r="H31" s="472">
        <v>0</v>
      </c>
      <c r="I31" s="472"/>
      <c r="J31" s="594">
        <v>0</v>
      </c>
      <c r="K31" s="9">
        <v>0</v>
      </c>
      <c r="L31" s="489">
        <v>0</v>
      </c>
      <c r="M31" s="489">
        <v>0</v>
      </c>
      <c r="N31" s="429">
        <v>0</v>
      </c>
      <c r="O31" s="429">
        <v>0</v>
      </c>
      <c r="P31" s="470">
        <f t="shared" si="0"/>
        <v>0</v>
      </c>
      <c r="Q31" s="470"/>
      <c r="S31">
        <f t="shared" si="1"/>
        <v>0</v>
      </c>
      <c r="T31">
        <f t="shared" si="2"/>
        <v>0</v>
      </c>
      <c r="U31">
        <f t="shared" si="3"/>
        <v>0</v>
      </c>
      <c r="V31">
        <f t="shared" si="4"/>
        <v>0</v>
      </c>
    </row>
    <row r="32" spans="1:22" ht="15">
      <c r="A32" s="99">
        <v>24</v>
      </c>
      <c r="B32" s="575" t="s">
        <v>912</v>
      </c>
      <c r="C32" s="9">
        <v>0</v>
      </c>
      <c r="D32" s="9"/>
      <c r="E32" s="9">
        <v>0</v>
      </c>
      <c r="F32" s="9">
        <v>0</v>
      </c>
      <c r="G32" s="9">
        <v>0</v>
      </c>
      <c r="H32" s="472">
        <v>0</v>
      </c>
      <c r="I32" s="472"/>
      <c r="J32" s="594">
        <v>0</v>
      </c>
      <c r="K32" s="9">
        <v>0</v>
      </c>
      <c r="L32" s="489">
        <v>0</v>
      </c>
      <c r="M32" s="489">
        <v>0</v>
      </c>
      <c r="N32" s="429">
        <v>0</v>
      </c>
      <c r="O32" s="429">
        <v>0</v>
      </c>
      <c r="P32" s="470">
        <f t="shared" si="0"/>
        <v>0</v>
      </c>
      <c r="Q32" s="470"/>
      <c r="S32">
        <f t="shared" si="1"/>
        <v>0</v>
      </c>
      <c r="T32">
        <f t="shared" si="2"/>
        <v>0</v>
      </c>
      <c r="U32">
        <f t="shared" si="3"/>
        <v>0</v>
      </c>
      <c r="V32">
        <f t="shared" si="4"/>
        <v>0</v>
      </c>
    </row>
    <row r="33" spans="1:22" ht="15">
      <c r="A33" s="99">
        <v>25</v>
      </c>
      <c r="B33" s="575" t="s">
        <v>913</v>
      </c>
      <c r="C33" s="9">
        <v>0</v>
      </c>
      <c r="D33" s="9"/>
      <c r="E33" s="9">
        <v>0</v>
      </c>
      <c r="F33" s="9">
        <v>0</v>
      </c>
      <c r="G33" s="9">
        <v>0</v>
      </c>
      <c r="H33" s="472">
        <v>0</v>
      </c>
      <c r="I33" s="472"/>
      <c r="J33" s="594">
        <v>0</v>
      </c>
      <c r="K33" s="9">
        <v>0</v>
      </c>
      <c r="L33" s="489">
        <v>0</v>
      </c>
      <c r="M33" s="489">
        <v>0</v>
      </c>
      <c r="N33" s="429">
        <v>0</v>
      </c>
      <c r="O33" s="429">
        <v>0</v>
      </c>
      <c r="P33" s="470">
        <f t="shared" si="0"/>
        <v>0</v>
      </c>
      <c r="Q33" s="470"/>
      <c r="S33">
        <f t="shared" si="1"/>
        <v>0</v>
      </c>
      <c r="T33">
        <f t="shared" si="2"/>
        <v>0</v>
      </c>
      <c r="U33">
        <f t="shared" si="3"/>
        <v>0</v>
      </c>
      <c r="V33">
        <f t="shared" si="4"/>
        <v>0</v>
      </c>
    </row>
    <row r="34" spans="1:22" ht="15">
      <c r="A34" s="99">
        <v>26</v>
      </c>
      <c r="B34" s="575" t="s">
        <v>914</v>
      </c>
      <c r="C34" s="9">
        <v>0</v>
      </c>
      <c r="D34" s="9"/>
      <c r="E34" s="9">
        <v>0</v>
      </c>
      <c r="F34" s="9">
        <v>0</v>
      </c>
      <c r="G34" s="9">
        <v>0</v>
      </c>
      <c r="H34" s="472">
        <v>0</v>
      </c>
      <c r="I34" s="472"/>
      <c r="J34" s="594">
        <v>0</v>
      </c>
      <c r="K34" s="9">
        <v>0</v>
      </c>
      <c r="L34" s="489">
        <v>0</v>
      </c>
      <c r="M34" s="489">
        <v>0</v>
      </c>
      <c r="N34" s="429">
        <v>0</v>
      </c>
      <c r="O34" s="429">
        <v>0</v>
      </c>
      <c r="P34" s="470">
        <f t="shared" si="0"/>
        <v>0</v>
      </c>
      <c r="Q34" s="470"/>
      <c r="S34">
        <f t="shared" si="1"/>
        <v>0</v>
      </c>
      <c r="T34">
        <f t="shared" si="2"/>
        <v>0</v>
      </c>
      <c r="U34">
        <f t="shared" si="3"/>
        <v>0</v>
      </c>
      <c r="V34">
        <f t="shared" si="4"/>
        <v>0</v>
      </c>
    </row>
    <row r="35" spans="1:22" ht="15">
      <c r="A35" s="99">
        <v>27</v>
      </c>
      <c r="B35" s="575" t="s">
        <v>915</v>
      </c>
      <c r="C35" s="9">
        <v>0</v>
      </c>
      <c r="D35" s="9"/>
      <c r="E35" s="9">
        <v>0</v>
      </c>
      <c r="F35" s="9">
        <v>0</v>
      </c>
      <c r="G35" s="9">
        <v>0</v>
      </c>
      <c r="H35" s="472">
        <v>0</v>
      </c>
      <c r="I35" s="472"/>
      <c r="J35" s="594">
        <v>0</v>
      </c>
      <c r="K35" s="9">
        <v>0</v>
      </c>
      <c r="L35" s="489">
        <v>0</v>
      </c>
      <c r="M35" s="489">
        <v>0</v>
      </c>
      <c r="N35" s="429">
        <v>0</v>
      </c>
      <c r="O35" s="429">
        <v>0</v>
      </c>
      <c r="P35" s="470">
        <f t="shared" si="0"/>
        <v>0</v>
      </c>
      <c r="Q35" s="470"/>
      <c r="S35">
        <f t="shared" si="1"/>
        <v>0</v>
      </c>
      <c r="T35">
        <f t="shared" si="2"/>
        <v>0</v>
      </c>
      <c r="U35">
        <f t="shared" si="3"/>
        <v>0</v>
      </c>
      <c r="V35">
        <f t="shared" si="4"/>
        <v>0</v>
      </c>
    </row>
    <row r="36" spans="1:22" ht="39.75">
      <c r="A36" s="99">
        <v>28</v>
      </c>
      <c r="B36" s="575" t="s">
        <v>916</v>
      </c>
      <c r="C36" s="9">
        <v>1</v>
      </c>
      <c r="D36" s="591" t="s">
        <v>992</v>
      </c>
      <c r="E36" s="9">
        <v>587</v>
      </c>
      <c r="F36" s="9">
        <v>48678</v>
      </c>
      <c r="G36" s="9">
        <v>11</v>
      </c>
      <c r="H36" s="472">
        <v>1058.7465</v>
      </c>
      <c r="I36" s="472">
        <v>732.97020195000005</v>
      </c>
      <c r="J36" s="594">
        <v>459.91911213676627</v>
      </c>
      <c r="K36" s="9">
        <v>318.36660063192335</v>
      </c>
      <c r="L36" s="489">
        <v>0</v>
      </c>
      <c r="M36" s="489">
        <v>0</v>
      </c>
      <c r="N36" s="429">
        <v>7.9405987500000004</v>
      </c>
      <c r="O36" s="429">
        <v>5.7994139343439208</v>
      </c>
      <c r="P36" s="470">
        <f t="shared" si="0"/>
        <v>1058.7465</v>
      </c>
      <c r="Q36" s="470"/>
      <c r="R36">
        <f>P36*69.23/100</f>
        <v>732.97020195000005</v>
      </c>
      <c r="S36">
        <f t="shared" si="1"/>
        <v>459.91911213676627</v>
      </c>
      <c r="T36">
        <f t="shared" si="2"/>
        <v>318.36660063192335</v>
      </c>
      <c r="U36">
        <f t="shared" si="3"/>
        <v>7.9405987500000004</v>
      </c>
      <c r="V36">
        <f t="shared" si="4"/>
        <v>5.7994139343439208</v>
      </c>
    </row>
    <row r="37" spans="1:22" ht="15">
      <c r="A37" s="99">
        <v>29</v>
      </c>
      <c r="B37" s="575" t="s">
        <v>917</v>
      </c>
      <c r="C37" s="9">
        <v>0</v>
      </c>
      <c r="D37" s="9"/>
      <c r="E37" s="9">
        <v>0</v>
      </c>
      <c r="F37" s="9">
        <v>0</v>
      </c>
      <c r="G37" s="9">
        <v>0</v>
      </c>
      <c r="H37" s="472">
        <v>0</v>
      </c>
      <c r="I37" s="472"/>
      <c r="J37" s="594">
        <v>0</v>
      </c>
      <c r="K37" s="9">
        <v>0</v>
      </c>
      <c r="L37" s="489">
        <v>0</v>
      </c>
      <c r="M37" s="489">
        <v>0</v>
      </c>
      <c r="N37" s="429">
        <v>0</v>
      </c>
      <c r="O37" s="429">
        <v>0</v>
      </c>
      <c r="P37" s="470">
        <f t="shared" si="0"/>
        <v>0</v>
      </c>
      <c r="Q37" s="470"/>
      <c r="S37">
        <f t="shared" si="1"/>
        <v>0</v>
      </c>
      <c r="T37">
        <f t="shared" si="2"/>
        <v>0</v>
      </c>
      <c r="U37">
        <f t="shared" si="3"/>
        <v>0</v>
      </c>
      <c r="V37">
        <f t="shared" si="4"/>
        <v>0</v>
      </c>
    </row>
    <row r="38" spans="1:22" ht="15">
      <c r="A38" s="99">
        <v>30</v>
      </c>
      <c r="B38" s="575" t="s">
        <v>918</v>
      </c>
      <c r="C38" s="9">
        <v>0</v>
      </c>
      <c r="D38" s="9"/>
      <c r="E38" s="9">
        <v>0</v>
      </c>
      <c r="F38" s="9">
        <v>0</v>
      </c>
      <c r="G38" s="9">
        <v>0</v>
      </c>
      <c r="H38" s="472">
        <v>0</v>
      </c>
      <c r="I38" s="472"/>
      <c r="J38" s="594">
        <v>0</v>
      </c>
      <c r="K38" s="9">
        <v>0</v>
      </c>
      <c r="L38" s="489">
        <v>0</v>
      </c>
      <c r="M38" s="489">
        <v>0</v>
      </c>
      <c r="N38" s="429">
        <v>0</v>
      </c>
      <c r="O38" s="429">
        <v>0</v>
      </c>
      <c r="P38" s="470">
        <f t="shared" si="0"/>
        <v>0</v>
      </c>
      <c r="Q38" s="470"/>
      <c r="S38">
        <f t="shared" si="1"/>
        <v>0</v>
      </c>
      <c r="T38">
        <f t="shared" si="2"/>
        <v>0</v>
      </c>
      <c r="U38">
        <f t="shared" si="3"/>
        <v>0</v>
      </c>
      <c r="V38">
        <f t="shared" si="4"/>
        <v>0</v>
      </c>
    </row>
    <row r="39" spans="1:22" ht="15">
      <c r="A39" s="99">
        <v>31</v>
      </c>
      <c r="B39" s="575" t="s">
        <v>919</v>
      </c>
      <c r="C39" s="9">
        <v>0</v>
      </c>
      <c r="D39" s="9"/>
      <c r="E39" s="9">
        <v>0</v>
      </c>
      <c r="F39" s="9">
        <v>0</v>
      </c>
      <c r="G39" s="9">
        <v>0</v>
      </c>
      <c r="H39" s="472">
        <v>0</v>
      </c>
      <c r="I39" s="472"/>
      <c r="J39" s="594">
        <v>0</v>
      </c>
      <c r="K39" s="9">
        <v>0</v>
      </c>
      <c r="L39" s="489">
        <v>0</v>
      </c>
      <c r="M39" s="489">
        <v>0</v>
      </c>
      <c r="N39" s="429">
        <v>0</v>
      </c>
      <c r="O39" s="429">
        <v>0</v>
      </c>
      <c r="P39" s="470">
        <f t="shared" si="0"/>
        <v>0</v>
      </c>
      <c r="Q39" s="470"/>
      <c r="S39">
        <f t="shared" si="1"/>
        <v>0</v>
      </c>
      <c r="T39">
        <f t="shared" si="2"/>
        <v>0</v>
      </c>
      <c r="U39">
        <f t="shared" si="3"/>
        <v>0</v>
      </c>
      <c r="V39">
        <f t="shared" si="4"/>
        <v>0</v>
      </c>
    </row>
    <row r="40" spans="1:22" ht="15">
      <c r="A40" s="99">
        <v>32</v>
      </c>
      <c r="B40" s="575" t="s">
        <v>920</v>
      </c>
      <c r="C40" s="9">
        <v>0</v>
      </c>
      <c r="D40" s="9"/>
      <c r="E40" s="9">
        <v>0</v>
      </c>
      <c r="F40" s="9">
        <v>0</v>
      </c>
      <c r="G40" s="9">
        <v>0</v>
      </c>
      <c r="H40" s="472">
        <v>0</v>
      </c>
      <c r="I40" s="472"/>
      <c r="J40" s="594">
        <v>0</v>
      </c>
      <c r="K40" s="9">
        <v>0</v>
      </c>
      <c r="L40" s="489">
        <v>0</v>
      </c>
      <c r="M40" s="489">
        <v>0</v>
      </c>
      <c r="N40" s="429">
        <v>0</v>
      </c>
      <c r="O40" s="429">
        <v>0</v>
      </c>
      <c r="P40" s="470">
        <f t="shared" si="0"/>
        <v>0</v>
      </c>
      <c r="Q40" s="470"/>
      <c r="S40">
        <f t="shared" si="1"/>
        <v>0</v>
      </c>
      <c r="T40">
        <f t="shared" si="2"/>
        <v>0</v>
      </c>
      <c r="U40">
        <f t="shared" si="3"/>
        <v>0</v>
      </c>
      <c r="V40">
        <f t="shared" si="4"/>
        <v>0</v>
      </c>
    </row>
    <row r="41" spans="1:22" ht="39.75">
      <c r="A41" s="99">
        <v>33</v>
      </c>
      <c r="B41" s="575" t="s">
        <v>921</v>
      </c>
      <c r="C41" s="9">
        <v>1</v>
      </c>
      <c r="D41" s="591" t="s">
        <v>992</v>
      </c>
      <c r="E41" s="9">
        <v>199</v>
      </c>
      <c r="F41" s="9">
        <v>22112</v>
      </c>
      <c r="G41" s="9">
        <v>15</v>
      </c>
      <c r="H41" s="472">
        <v>480.93599999999998</v>
      </c>
      <c r="I41" s="472">
        <v>343.14783599999993</v>
      </c>
      <c r="J41" s="594">
        <v>208.9184314796864</v>
      </c>
      <c r="K41" s="9">
        <v>149.04672764442481</v>
      </c>
      <c r="L41" s="489">
        <v>0</v>
      </c>
      <c r="M41" s="489">
        <v>0</v>
      </c>
      <c r="N41" s="429">
        <v>3.6070199999999999</v>
      </c>
      <c r="O41" s="429">
        <v>2.7150576330988621</v>
      </c>
      <c r="P41" s="470">
        <f t="shared" si="0"/>
        <v>480.93599999999998</v>
      </c>
      <c r="Q41" s="470"/>
      <c r="R41">
        <f>P41*71.35/100</f>
        <v>343.14783599999993</v>
      </c>
      <c r="S41">
        <f t="shared" si="1"/>
        <v>208.9184314796864</v>
      </c>
      <c r="T41">
        <f t="shared" si="2"/>
        <v>149.04672764442481</v>
      </c>
      <c r="U41">
        <f t="shared" si="3"/>
        <v>3.6070199999999999</v>
      </c>
      <c r="V41">
        <f t="shared" si="4"/>
        <v>2.7150576330988621</v>
      </c>
    </row>
    <row r="42" spans="1:22" ht="15">
      <c r="A42" s="96" t="s">
        <v>19</v>
      </c>
      <c r="B42" s="9"/>
      <c r="C42" s="9">
        <f>SUM(C9:C41)</f>
        <v>11</v>
      </c>
      <c r="D42" s="9"/>
      <c r="E42" s="8">
        <f>SUM(E9:E41)</f>
        <v>4108</v>
      </c>
      <c r="F42" s="8">
        <f t="shared" ref="F42:G42" si="5">SUM(F9:F41)</f>
        <v>420726</v>
      </c>
      <c r="G42" s="8">
        <f t="shared" si="5"/>
        <v>163</v>
      </c>
      <c r="H42" s="472">
        <f>SUM(H9:H41)</f>
        <v>9150.7904999999992</v>
      </c>
      <c r="I42" s="472">
        <f>SUM(I9:I41)</f>
        <v>6388.8630024750009</v>
      </c>
      <c r="J42" s="473">
        <f>SUM(J9:J41)</f>
        <v>3975.1002171998252</v>
      </c>
      <c r="K42" s="473">
        <f t="shared" ref="K42:O42" si="6">SUM(K9:K41)</f>
        <v>2775.0113041290856</v>
      </c>
      <c r="L42" s="489">
        <v>0</v>
      </c>
      <c r="M42" s="489">
        <v>0</v>
      </c>
      <c r="N42" s="473">
        <f t="shared" si="6"/>
        <v>68.63092875000001</v>
      </c>
      <c r="O42" s="473">
        <f t="shared" si="6"/>
        <v>50.5500237562118</v>
      </c>
      <c r="P42" s="470">
        <f t="shared" si="0"/>
        <v>9150.7904999999992</v>
      </c>
      <c r="Q42" s="470"/>
      <c r="S42">
        <f t="shared" si="1"/>
        <v>3975.1002171998257</v>
      </c>
      <c r="T42">
        <f t="shared" si="2"/>
        <v>0</v>
      </c>
      <c r="U42">
        <f t="shared" si="3"/>
        <v>68.630928749999995</v>
      </c>
      <c r="V42">
        <f t="shared" si="4"/>
        <v>0</v>
      </c>
    </row>
    <row r="43" spans="1:22">
      <c r="R43">
        <f>SUM(R9:R42)</f>
        <v>6388.8630024750009</v>
      </c>
      <c r="S43">
        <f t="shared" si="1"/>
        <v>0</v>
      </c>
    </row>
    <row r="44" spans="1:22">
      <c r="A44" s="224"/>
      <c r="B44" s="224"/>
      <c r="C44" s="224"/>
      <c r="D44" s="224"/>
      <c r="L44" s="917" t="s">
        <v>13</v>
      </c>
      <c r="M44" s="917"/>
      <c r="N44" s="917"/>
      <c r="O44" s="917"/>
    </row>
    <row r="45" spans="1:22">
      <c r="A45" s="224"/>
      <c r="B45" s="224"/>
      <c r="C45" s="224"/>
      <c r="D45" s="224"/>
      <c r="L45" s="917" t="s">
        <v>14</v>
      </c>
      <c r="M45" s="917"/>
      <c r="N45" s="917"/>
      <c r="O45" s="917"/>
    </row>
    <row r="46" spans="1:22">
      <c r="A46" s="224"/>
      <c r="B46" s="224"/>
      <c r="C46" s="224"/>
      <c r="D46" s="224"/>
      <c r="L46" s="917" t="s">
        <v>90</v>
      </c>
      <c r="M46" s="917"/>
      <c r="N46" s="917"/>
      <c r="O46" s="917"/>
      <c r="U46">
        <f>U42*73.66/100</f>
        <v>50.553542117249989</v>
      </c>
    </row>
    <row r="47" spans="1:22">
      <c r="A47" s="224" t="s">
        <v>12</v>
      </c>
      <c r="C47" s="224"/>
      <c r="D47" s="224"/>
      <c r="L47" s="918" t="s">
        <v>87</v>
      </c>
      <c r="M47" s="918"/>
      <c r="N47" s="918"/>
      <c r="O47" s="229"/>
    </row>
    <row r="49" spans="17:18">
      <c r="R49">
        <f>J42*69.81/100</f>
        <v>2775.0174616271979</v>
      </c>
    </row>
    <row r="53" spans="17:18">
      <c r="Q53">
        <f>F42*75/100*5.43*232/100000</f>
        <v>3975.1033932</v>
      </c>
    </row>
  </sheetData>
  <mergeCells count="19">
    <mergeCell ref="L45:O45"/>
    <mergeCell ref="L46:O46"/>
    <mergeCell ref="L47:N47"/>
    <mergeCell ref="G6:G7"/>
    <mergeCell ref="H6:I6"/>
    <mergeCell ref="J6:K6"/>
    <mergeCell ref="L6:M6"/>
    <mergeCell ref="N6:O6"/>
    <mergeCell ref="L44:O44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70866141732283472" right="0.70866141732283472" top="0.23622047244094491" bottom="0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2:IV40"/>
  <sheetViews>
    <sheetView view="pageBreakPreview" topLeftCell="J7" zoomScale="130" zoomScaleNormal="85" zoomScaleSheetLayoutView="130" workbookViewId="0">
      <selection activeCell="A30" sqref="A30:S30"/>
    </sheetView>
  </sheetViews>
  <sheetFormatPr defaultRowHeight="12.75"/>
  <cols>
    <col min="1" max="1" width="4.85546875" customWidth="1"/>
    <col min="2" max="2" width="19.28515625" bestFit="1" customWidth="1"/>
    <col min="3" max="3" width="8.42578125" customWidth="1"/>
    <col min="4" max="4" width="10.140625" customWidth="1"/>
    <col min="5" max="5" width="9.5703125" bestFit="1" customWidth="1"/>
    <col min="6" max="6" width="9.5703125" customWidth="1"/>
    <col min="7" max="7" width="8.42578125" customWidth="1"/>
    <col min="8" max="8" width="8.85546875" customWidth="1"/>
    <col min="9" max="9" width="8.7109375" customWidth="1"/>
    <col min="10" max="10" width="12.28515625" customWidth="1"/>
    <col min="11" max="11" width="8.42578125" customWidth="1"/>
    <col min="12" max="12" width="8" customWidth="1"/>
    <col min="13" max="13" width="8.140625" customWidth="1"/>
    <col min="14" max="15" width="9" customWidth="1"/>
    <col min="16" max="17" width="8.85546875" customWidth="1"/>
    <col min="18" max="18" width="9.7109375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>
      <c r="G2" s="851"/>
      <c r="H2" s="851"/>
      <c r="I2" s="851"/>
      <c r="J2" s="851"/>
      <c r="K2" s="851"/>
      <c r="L2" s="851"/>
      <c r="M2" s="851"/>
      <c r="N2" s="851"/>
      <c r="O2" s="851"/>
      <c r="P2" s="1"/>
      <c r="Q2" s="1"/>
      <c r="R2" s="1"/>
      <c r="T2" s="48" t="s">
        <v>62</v>
      </c>
    </row>
    <row r="3" spans="1:256" ht="15">
      <c r="A3" s="818" t="s">
        <v>60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</row>
    <row r="4" spans="1:256" ht="15.75">
      <c r="A4" s="847" t="s">
        <v>705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7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56" ht="15">
      <c r="A6" s="889" t="s">
        <v>745</v>
      </c>
      <c r="B6" s="889"/>
      <c r="C6" s="889"/>
      <c r="D6" s="889"/>
      <c r="E6" s="889"/>
      <c r="F6" s="889"/>
      <c r="G6" s="889"/>
      <c r="H6" s="889"/>
      <c r="I6" s="889"/>
      <c r="J6" s="889"/>
      <c r="K6" s="889"/>
      <c r="L6" s="889"/>
      <c r="M6" s="889"/>
      <c r="N6" s="889"/>
      <c r="O6" s="889"/>
      <c r="P6" s="889"/>
      <c r="Q6" s="889"/>
      <c r="R6" s="889"/>
      <c r="S6" s="889"/>
      <c r="T6" s="889"/>
      <c r="U6" s="889"/>
    </row>
    <row r="7" spans="1:256" ht="15.7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56" ht="15.75">
      <c r="A8" s="850" t="s">
        <v>922</v>
      </c>
      <c r="B8" s="850"/>
      <c r="C8" s="850"/>
      <c r="D8" s="32"/>
      <c r="E8" s="32"/>
      <c r="F8" s="32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10" spans="1:256" ht="15">
      <c r="U10" s="884" t="s">
        <v>463</v>
      </c>
      <c r="V10" s="884"/>
      <c r="W10" s="15"/>
      <c r="X10" s="15"/>
      <c r="Y10" s="15"/>
      <c r="Z10" s="15"/>
      <c r="AA10" s="15"/>
      <c r="AB10" s="845"/>
      <c r="AC10" s="845"/>
      <c r="AD10" s="84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>
      <c r="A11" s="879" t="s">
        <v>2</v>
      </c>
      <c r="B11" s="879" t="s">
        <v>114</v>
      </c>
      <c r="C11" s="857" t="s">
        <v>158</v>
      </c>
      <c r="D11" s="858"/>
      <c r="E11" s="858"/>
      <c r="F11" s="859"/>
      <c r="G11" s="881" t="s">
        <v>788</v>
      </c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3"/>
      <c r="S11" s="885" t="s">
        <v>249</v>
      </c>
      <c r="T11" s="886"/>
      <c r="U11" s="886"/>
      <c r="V11" s="886"/>
      <c r="W11" s="134"/>
      <c r="X11" s="134"/>
      <c r="Y11" s="134"/>
      <c r="Z11" s="134"/>
      <c r="AA11" s="134"/>
      <c r="AB11" s="134"/>
      <c r="AC11" s="134"/>
      <c r="AD11" s="13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>
      <c r="A12" s="880"/>
      <c r="B12" s="880"/>
      <c r="C12" s="860"/>
      <c r="D12" s="861"/>
      <c r="E12" s="861"/>
      <c r="F12" s="862"/>
      <c r="G12" s="825" t="s">
        <v>178</v>
      </c>
      <c r="H12" s="856"/>
      <c r="I12" s="856"/>
      <c r="J12" s="826"/>
      <c r="K12" s="825" t="s">
        <v>179</v>
      </c>
      <c r="L12" s="856"/>
      <c r="M12" s="856"/>
      <c r="N12" s="826"/>
      <c r="O12" s="827" t="s">
        <v>19</v>
      </c>
      <c r="P12" s="827"/>
      <c r="Q12" s="827"/>
      <c r="R12" s="827"/>
      <c r="S12" s="887"/>
      <c r="T12" s="888"/>
      <c r="U12" s="888"/>
      <c r="V12" s="888"/>
      <c r="W12" s="134"/>
      <c r="X12" s="134"/>
      <c r="Y12" s="134"/>
      <c r="Z12" s="134"/>
      <c r="AA12" s="134"/>
      <c r="AB12" s="134"/>
      <c r="AC12" s="134"/>
      <c r="AD12" s="13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8.25">
      <c r="A13" s="180"/>
      <c r="B13" s="180"/>
      <c r="C13" s="179" t="s">
        <v>250</v>
      </c>
      <c r="D13" s="179" t="s">
        <v>251</v>
      </c>
      <c r="E13" s="179" t="s">
        <v>252</v>
      </c>
      <c r="F13" s="179" t="s">
        <v>94</v>
      </c>
      <c r="G13" s="179" t="s">
        <v>250</v>
      </c>
      <c r="H13" s="179" t="s">
        <v>251</v>
      </c>
      <c r="I13" s="179" t="s">
        <v>252</v>
      </c>
      <c r="J13" s="179" t="s">
        <v>19</v>
      </c>
      <c r="K13" s="179" t="s">
        <v>250</v>
      </c>
      <c r="L13" s="179" t="s">
        <v>251</v>
      </c>
      <c r="M13" s="179" t="s">
        <v>252</v>
      </c>
      <c r="N13" s="179" t="s">
        <v>94</v>
      </c>
      <c r="O13" s="179" t="s">
        <v>250</v>
      </c>
      <c r="P13" s="179" t="s">
        <v>251</v>
      </c>
      <c r="Q13" s="179" t="s">
        <v>252</v>
      </c>
      <c r="R13" s="179" t="s">
        <v>19</v>
      </c>
      <c r="S13" s="5" t="s">
        <v>459</v>
      </c>
      <c r="T13" s="5" t="s">
        <v>460</v>
      </c>
      <c r="U13" s="5" t="s">
        <v>461</v>
      </c>
      <c r="V13" s="280" t="s">
        <v>462</v>
      </c>
      <c r="W13" s="134"/>
      <c r="X13" s="134"/>
      <c r="Y13" s="134"/>
      <c r="Z13" s="134"/>
      <c r="AA13" s="134"/>
      <c r="AB13" s="134"/>
      <c r="AC13" s="134"/>
      <c r="AD13" s="13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>
      <c r="A14" s="160">
        <v>1</v>
      </c>
      <c r="B14" s="181">
        <v>2</v>
      </c>
      <c r="C14" s="160">
        <v>3</v>
      </c>
      <c r="D14" s="160">
        <v>4</v>
      </c>
      <c r="E14" s="181">
        <v>5</v>
      </c>
      <c r="F14" s="160">
        <v>6</v>
      </c>
      <c r="G14" s="160">
        <v>7</v>
      </c>
      <c r="H14" s="181">
        <v>8</v>
      </c>
      <c r="I14" s="160">
        <v>9</v>
      </c>
      <c r="J14" s="160">
        <v>10</v>
      </c>
      <c r="K14" s="181">
        <v>11</v>
      </c>
      <c r="L14" s="160">
        <v>12</v>
      </c>
      <c r="M14" s="160">
        <v>13</v>
      </c>
      <c r="N14" s="181">
        <v>14</v>
      </c>
      <c r="O14" s="160">
        <v>15</v>
      </c>
      <c r="P14" s="160">
        <v>16</v>
      </c>
      <c r="Q14" s="181">
        <v>17</v>
      </c>
      <c r="R14" s="160">
        <v>18</v>
      </c>
      <c r="S14" s="160">
        <v>19</v>
      </c>
      <c r="T14" s="181">
        <v>20</v>
      </c>
      <c r="U14" s="160">
        <v>21</v>
      </c>
      <c r="V14" s="160">
        <v>22</v>
      </c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25.5">
      <c r="A15" s="18"/>
      <c r="B15" s="183" t="s">
        <v>237</v>
      </c>
      <c r="C15" s="18"/>
      <c r="D15" s="18"/>
      <c r="E15" s="18"/>
      <c r="F15" s="278"/>
      <c r="G15" s="8"/>
      <c r="H15" s="8"/>
      <c r="I15" s="8"/>
      <c r="J15" s="278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>
      <c r="A16" s="3">
        <v>1</v>
      </c>
      <c r="B16" s="183" t="s">
        <v>184</v>
      </c>
      <c r="C16" s="599">
        <v>1800.11</v>
      </c>
      <c r="D16" s="599">
        <v>739.33</v>
      </c>
      <c r="E16" s="599">
        <v>675.05</v>
      </c>
      <c r="F16" s="600">
        <v>3214.49</v>
      </c>
      <c r="G16" s="599">
        <v>1779.36</v>
      </c>
      <c r="H16" s="599">
        <v>559.03</v>
      </c>
      <c r="I16" s="599">
        <v>428.43</v>
      </c>
      <c r="J16" s="600">
        <f>I16+H16+G16</f>
        <v>2766.8199999999997</v>
      </c>
      <c r="K16" s="599">
        <v>0</v>
      </c>
      <c r="L16" s="599">
        <v>0</v>
      </c>
      <c r="M16" s="599">
        <v>0</v>
      </c>
      <c r="N16" s="599">
        <v>0</v>
      </c>
      <c r="O16" s="599">
        <v>1779.36</v>
      </c>
      <c r="P16" s="599">
        <v>559.03</v>
      </c>
      <c r="Q16" s="599">
        <v>428.43</v>
      </c>
      <c r="R16" s="599">
        <v>2766.82</v>
      </c>
      <c r="S16" s="599">
        <f>C16-O16</f>
        <v>20.75</v>
      </c>
      <c r="T16" s="601">
        <f>D16-P16</f>
        <v>180.30000000000007</v>
      </c>
      <c r="U16" s="601">
        <f>E16-Q16</f>
        <v>246.61999999999995</v>
      </c>
      <c r="V16" s="601">
        <f>S16+T16+U16</f>
        <v>447.67</v>
      </c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37">
      <c r="A17" s="3">
        <v>2</v>
      </c>
      <c r="B17" s="184" t="s">
        <v>130</v>
      </c>
      <c r="C17" s="601">
        <v>32288.27</v>
      </c>
      <c r="D17" s="601">
        <v>13261.25</v>
      </c>
      <c r="E17" s="601">
        <v>12108.08</v>
      </c>
      <c r="F17" s="600">
        <v>57657.600000000006</v>
      </c>
      <c r="G17" s="601">
        <v>19977.860457923704</v>
      </c>
      <c r="H17" s="601">
        <v>6407.4360945680792</v>
      </c>
      <c r="I17" s="601">
        <v>4906.8534475082224</v>
      </c>
      <c r="J17" s="600">
        <f t="shared" ref="J17:J21" si="0">I17+H17+G17</f>
        <v>31292.150000000005</v>
      </c>
      <c r="K17" s="601">
        <v>8705.69</v>
      </c>
      <c r="L17" s="601">
        <v>2837.69</v>
      </c>
      <c r="M17" s="601">
        <v>2150.61</v>
      </c>
      <c r="N17" s="601">
        <v>13091.94</v>
      </c>
      <c r="O17" s="601">
        <v>28295.85</v>
      </c>
      <c r="P17" s="601">
        <v>9121.4500000000007</v>
      </c>
      <c r="Q17" s="601">
        <v>6961.73</v>
      </c>
      <c r="R17" s="601">
        <v>44379.03</v>
      </c>
      <c r="S17" s="599">
        <f t="shared" ref="S17:S20" si="1">C17-O17</f>
        <v>3992.4200000000019</v>
      </c>
      <c r="T17" s="601">
        <f t="shared" ref="T17:T20" si="2">D17-P17</f>
        <v>4139.7999999999993</v>
      </c>
      <c r="U17" s="601">
        <f t="shared" ref="U17:U20" si="3">E17-Q17</f>
        <v>5146.3500000000004</v>
      </c>
      <c r="V17" s="601">
        <f t="shared" ref="V17:V20" si="4">S17+T17+U17</f>
        <v>13278.570000000002</v>
      </c>
      <c r="Y17" s="850"/>
      <c r="Z17" s="850"/>
      <c r="AA17" s="850"/>
      <c r="AB17" s="850"/>
    </row>
    <row r="18" spans="1:37" ht="25.5">
      <c r="A18" s="3">
        <v>3</v>
      </c>
      <c r="B18" s="183" t="s">
        <v>131</v>
      </c>
      <c r="C18" s="601">
        <v>696.56</v>
      </c>
      <c r="D18" s="601">
        <v>286.08999999999997</v>
      </c>
      <c r="E18" s="601">
        <v>261.20999999999998</v>
      </c>
      <c r="F18" s="600">
        <v>1243.8599999999999</v>
      </c>
      <c r="G18" s="601">
        <v>359.80797688675926</v>
      </c>
      <c r="H18" s="601">
        <v>126.99105066591503</v>
      </c>
      <c r="I18" s="601">
        <v>113.91097244732579</v>
      </c>
      <c r="J18" s="600">
        <f t="shared" si="0"/>
        <v>600.71</v>
      </c>
      <c r="K18" s="601">
        <v>0</v>
      </c>
      <c r="L18" s="601">
        <v>0</v>
      </c>
      <c r="M18" s="601">
        <v>0</v>
      </c>
      <c r="N18" s="601">
        <v>0</v>
      </c>
      <c r="O18" s="601">
        <v>595</v>
      </c>
      <c r="P18" s="601">
        <v>210</v>
      </c>
      <c r="Q18" s="601">
        <v>188.37</v>
      </c>
      <c r="R18" s="601">
        <v>993.37</v>
      </c>
      <c r="S18" s="599">
        <f t="shared" si="1"/>
        <v>101.55999999999995</v>
      </c>
      <c r="T18" s="601">
        <f t="shared" si="2"/>
        <v>76.089999999999975</v>
      </c>
      <c r="U18" s="601">
        <f t="shared" si="3"/>
        <v>72.839999999999975</v>
      </c>
      <c r="V18" s="601">
        <f t="shared" si="4"/>
        <v>250.4899999999999</v>
      </c>
    </row>
    <row r="19" spans="1:37">
      <c r="A19" s="3">
        <v>4</v>
      </c>
      <c r="B19" s="184" t="s">
        <v>132</v>
      </c>
      <c r="C19" s="601">
        <v>459.15</v>
      </c>
      <c r="D19" s="601">
        <v>188.58</v>
      </c>
      <c r="E19" s="601">
        <v>172.18</v>
      </c>
      <c r="F19" s="600">
        <v>819.91</v>
      </c>
      <c r="G19" s="601">
        <v>536.78</v>
      </c>
      <c r="H19" s="601">
        <v>146.16999999999999</v>
      </c>
      <c r="I19" s="601">
        <v>112.13</v>
      </c>
      <c r="J19" s="600">
        <f t="shared" si="0"/>
        <v>795.07999999999993</v>
      </c>
      <c r="K19" s="601">
        <v>0</v>
      </c>
      <c r="L19" s="601">
        <v>0</v>
      </c>
      <c r="M19" s="601">
        <v>0</v>
      </c>
      <c r="N19" s="601">
        <v>0</v>
      </c>
      <c r="O19" s="601">
        <v>536.78</v>
      </c>
      <c r="P19" s="601">
        <v>146.16999999999999</v>
      </c>
      <c r="Q19" s="601">
        <v>112.13</v>
      </c>
      <c r="R19" s="601">
        <v>795.07999999999993</v>
      </c>
      <c r="S19" s="599">
        <f t="shared" si="1"/>
        <v>-77.63</v>
      </c>
      <c r="T19" s="601">
        <f t="shared" si="2"/>
        <v>42.410000000000025</v>
      </c>
      <c r="U19" s="601">
        <f t="shared" si="3"/>
        <v>60.050000000000011</v>
      </c>
      <c r="V19" s="601">
        <f t="shared" si="4"/>
        <v>24.830000000000041</v>
      </c>
    </row>
    <row r="20" spans="1:37" ht="25.5">
      <c r="A20" s="3">
        <v>5</v>
      </c>
      <c r="B20" s="183" t="s">
        <v>133</v>
      </c>
      <c r="C20" s="601">
        <v>7469.82</v>
      </c>
      <c r="D20" s="601">
        <v>3067.96</v>
      </c>
      <c r="E20" s="601">
        <v>2801.18</v>
      </c>
      <c r="F20" s="600">
        <v>13338.96</v>
      </c>
      <c r="G20" s="601">
        <v>4237.59</v>
      </c>
      <c r="H20" s="601">
        <v>1331.06</v>
      </c>
      <c r="I20" s="601">
        <v>1019.89</v>
      </c>
      <c r="J20" s="600">
        <f t="shared" si="0"/>
        <v>6588.54</v>
      </c>
      <c r="K20" s="601">
        <v>3890.07</v>
      </c>
      <c r="L20" s="601">
        <v>1316.07</v>
      </c>
      <c r="M20" s="601">
        <v>1037.49</v>
      </c>
      <c r="N20" s="601">
        <v>6243.63</v>
      </c>
      <c r="O20" s="601">
        <v>8070.83</v>
      </c>
      <c r="P20" s="601">
        <v>2629</v>
      </c>
      <c r="Q20" s="601">
        <v>2043.35</v>
      </c>
      <c r="R20" s="601">
        <v>12743.18</v>
      </c>
      <c r="S20" s="599">
        <f t="shared" si="1"/>
        <v>-601.01000000000022</v>
      </c>
      <c r="T20" s="601">
        <f t="shared" si="2"/>
        <v>438.96000000000004</v>
      </c>
      <c r="U20" s="601">
        <f t="shared" si="3"/>
        <v>757.82999999999993</v>
      </c>
      <c r="V20" s="601">
        <f t="shared" si="4"/>
        <v>595.77999999999975</v>
      </c>
    </row>
    <row r="21" spans="1:37" s="15" customFormat="1">
      <c r="A21" s="277"/>
      <c r="B21" s="291" t="s">
        <v>94</v>
      </c>
      <c r="C21" s="601">
        <f>SUM(C16:C20)</f>
        <v>42713.909999999996</v>
      </c>
      <c r="D21" s="601">
        <f t="shared" ref="D21:V21" si="5">SUM(D16:D20)</f>
        <v>17543.21</v>
      </c>
      <c r="E21" s="601">
        <f t="shared" si="5"/>
        <v>16017.699999999999</v>
      </c>
      <c r="F21" s="601">
        <f t="shared" si="5"/>
        <v>76274.820000000007</v>
      </c>
      <c r="G21" s="601">
        <f t="shared" si="5"/>
        <v>26891.398434810464</v>
      </c>
      <c r="H21" s="601">
        <f t="shared" si="5"/>
        <v>8570.6871452339947</v>
      </c>
      <c r="I21" s="601">
        <f t="shared" si="5"/>
        <v>6581.2144199555487</v>
      </c>
      <c r="J21" s="600">
        <f t="shared" si="0"/>
        <v>42043.3</v>
      </c>
      <c r="K21" s="601">
        <f t="shared" si="5"/>
        <v>12595.76</v>
      </c>
      <c r="L21" s="601">
        <f t="shared" si="5"/>
        <v>4153.76</v>
      </c>
      <c r="M21" s="601">
        <f t="shared" si="5"/>
        <v>3188.1000000000004</v>
      </c>
      <c r="N21" s="601">
        <f t="shared" si="5"/>
        <v>19335.57</v>
      </c>
      <c r="O21" s="601">
        <f t="shared" si="5"/>
        <v>39277.82</v>
      </c>
      <c r="P21" s="601">
        <f t="shared" si="5"/>
        <v>12665.650000000001</v>
      </c>
      <c r="Q21" s="601">
        <f t="shared" si="5"/>
        <v>9734.01</v>
      </c>
      <c r="R21" s="601">
        <f t="shared" si="5"/>
        <v>61677.48</v>
      </c>
      <c r="S21" s="601">
        <f t="shared" si="5"/>
        <v>3436.0900000000011</v>
      </c>
      <c r="T21" s="601">
        <f t="shared" si="5"/>
        <v>4877.5599999999995</v>
      </c>
      <c r="U21" s="601">
        <f t="shared" si="5"/>
        <v>6283.6900000000005</v>
      </c>
      <c r="V21" s="601">
        <f t="shared" si="5"/>
        <v>14597.34</v>
      </c>
    </row>
    <row r="22" spans="1:37" ht="25.5">
      <c r="A22" s="3"/>
      <c r="B22" s="185" t="s">
        <v>238</v>
      </c>
      <c r="C22" s="601"/>
      <c r="D22" s="601"/>
      <c r="E22" s="601"/>
      <c r="F22" s="602"/>
      <c r="G22" s="601"/>
      <c r="H22" s="601"/>
      <c r="I22" s="601"/>
      <c r="J22" s="602"/>
      <c r="K22" s="601"/>
      <c r="L22" s="601"/>
      <c r="M22" s="601"/>
      <c r="N22" s="601"/>
      <c r="O22" s="601"/>
      <c r="P22" s="601"/>
      <c r="Q22" s="601"/>
      <c r="R22" s="601"/>
      <c r="S22" s="601"/>
      <c r="T22" s="601"/>
      <c r="U22" s="601"/>
      <c r="V22" s="601"/>
    </row>
    <row r="23" spans="1:37">
      <c r="A23" s="3">
        <v>6</v>
      </c>
      <c r="B23" s="183" t="s">
        <v>186</v>
      </c>
      <c r="C23" s="601"/>
      <c r="D23" s="601"/>
      <c r="E23" s="601"/>
      <c r="F23" s="602"/>
      <c r="G23" s="601"/>
      <c r="H23" s="601"/>
      <c r="I23" s="601"/>
      <c r="J23" s="602"/>
      <c r="K23" s="601"/>
      <c r="L23" s="601"/>
      <c r="M23" s="601"/>
      <c r="N23" s="601"/>
      <c r="O23" s="601"/>
      <c r="P23" s="601"/>
      <c r="Q23" s="601"/>
      <c r="R23" s="601"/>
      <c r="S23" s="601"/>
      <c r="T23" s="601"/>
      <c r="U23" s="601"/>
      <c r="V23" s="601"/>
    </row>
    <row r="24" spans="1:37">
      <c r="A24" s="3">
        <v>7</v>
      </c>
      <c r="B24" s="184" t="s">
        <v>135</v>
      </c>
      <c r="C24" s="601"/>
      <c r="D24" s="601"/>
      <c r="E24" s="601"/>
      <c r="F24" s="602"/>
      <c r="G24" s="601"/>
      <c r="H24" s="601"/>
      <c r="I24" s="601"/>
      <c r="J24" s="602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</row>
    <row r="25" spans="1:37">
      <c r="A25" s="9"/>
      <c r="B25" s="184" t="s">
        <v>94</v>
      </c>
      <c r="C25" s="601"/>
      <c r="D25" s="601"/>
      <c r="E25" s="601"/>
      <c r="F25" s="602"/>
      <c r="G25" s="601"/>
      <c r="H25" s="601"/>
      <c r="I25" s="601"/>
      <c r="J25" s="602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1"/>
    </row>
    <row r="26" spans="1:37">
      <c r="A26" s="9"/>
      <c r="B26" s="184" t="s">
        <v>39</v>
      </c>
      <c r="C26" s="601">
        <f>C21</f>
        <v>42713.909999999996</v>
      </c>
      <c r="D26" s="601">
        <f t="shared" ref="D26:V26" si="6">D21</f>
        <v>17543.21</v>
      </c>
      <c r="E26" s="601">
        <f t="shared" si="6"/>
        <v>16017.699999999999</v>
      </c>
      <c r="F26" s="601">
        <f t="shared" si="6"/>
        <v>76274.820000000007</v>
      </c>
      <c r="G26" s="601">
        <f t="shared" si="6"/>
        <v>26891.398434810464</v>
      </c>
      <c r="H26" s="601">
        <f t="shared" si="6"/>
        <v>8570.6871452339947</v>
      </c>
      <c r="I26" s="601">
        <f t="shared" si="6"/>
        <v>6581.2144199555487</v>
      </c>
      <c r="J26" s="601">
        <f t="shared" si="6"/>
        <v>42043.3</v>
      </c>
      <c r="K26" s="601">
        <f t="shared" si="6"/>
        <v>12595.76</v>
      </c>
      <c r="L26" s="601">
        <f t="shared" si="6"/>
        <v>4153.76</v>
      </c>
      <c r="M26" s="601">
        <f t="shared" si="6"/>
        <v>3188.1000000000004</v>
      </c>
      <c r="N26" s="601">
        <f t="shared" si="6"/>
        <v>19335.57</v>
      </c>
      <c r="O26" s="601">
        <f t="shared" si="6"/>
        <v>39277.82</v>
      </c>
      <c r="P26" s="601">
        <f t="shared" si="6"/>
        <v>12665.650000000001</v>
      </c>
      <c r="Q26" s="601">
        <f t="shared" si="6"/>
        <v>9734.01</v>
      </c>
      <c r="R26" s="601">
        <f t="shared" si="6"/>
        <v>61677.48</v>
      </c>
      <c r="S26" s="601">
        <f t="shared" si="6"/>
        <v>3436.0900000000011</v>
      </c>
      <c r="T26" s="601">
        <f t="shared" si="6"/>
        <v>4877.5599999999995</v>
      </c>
      <c r="U26" s="601">
        <f t="shared" si="6"/>
        <v>6283.6900000000005</v>
      </c>
      <c r="V26" s="601">
        <f t="shared" si="6"/>
        <v>14597.34</v>
      </c>
    </row>
    <row r="28" spans="1:37" ht="25.5" customHeight="1">
      <c r="A28" s="14" t="s">
        <v>12</v>
      </c>
      <c r="B28" s="14"/>
      <c r="C28" s="14"/>
      <c r="D28" s="14" t="s">
        <v>1045</v>
      </c>
      <c r="E28" s="14"/>
      <c r="F28" s="14" t="s">
        <v>1046</v>
      </c>
      <c r="G28" s="14"/>
      <c r="H28" s="634">
        <f>J26-J28</f>
        <v>3.7731431875727139E-3</v>
      </c>
      <c r="I28" s="14"/>
      <c r="J28" s="14">
        <v>42043.296226856815</v>
      </c>
      <c r="K28" s="14"/>
      <c r="L28" s="14"/>
      <c r="M28" s="14"/>
      <c r="N28" s="14"/>
      <c r="O28" s="14"/>
      <c r="P28" s="14"/>
      <c r="Q28" s="14"/>
      <c r="R28" s="14"/>
      <c r="S28" s="866" t="s">
        <v>13</v>
      </c>
      <c r="T28" s="866"/>
      <c r="U28" s="88"/>
      <c r="V28" s="14"/>
      <c r="W28" s="15"/>
      <c r="X28" s="15"/>
      <c r="Y28" s="15"/>
      <c r="Z28" s="15"/>
      <c r="AA28" s="15"/>
      <c r="AE28" s="15"/>
      <c r="AF28" s="15"/>
    </row>
    <row r="29" spans="1:37">
      <c r="A29" s="866" t="s">
        <v>14</v>
      </c>
      <c r="B29" s="866"/>
      <c r="C29" s="866"/>
      <c r="D29" s="866"/>
      <c r="E29" s="866"/>
      <c r="F29" s="866"/>
      <c r="G29" s="866"/>
      <c r="H29" s="866"/>
      <c r="I29" s="866"/>
      <c r="J29" s="866"/>
      <c r="K29" s="866"/>
      <c r="L29" s="866"/>
      <c r="M29" s="866"/>
      <c r="N29" s="866"/>
      <c r="O29" s="866"/>
      <c r="P29" s="866"/>
      <c r="Q29" s="866"/>
      <c r="R29" s="866"/>
      <c r="S29" s="866"/>
      <c r="T29" s="866"/>
      <c r="U29" s="866"/>
      <c r="V29" s="866"/>
      <c r="W29" s="866"/>
      <c r="X29" s="866"/>
      <c r="Y29" s="866"/>
      <c r="Z29" s="866"/>
      <c r="AA29" s="866"/>
      <c r="AB29" s="866"/>
      <c r="AC29" s="866"/>
      <c r="AD29" s="866"/>
      <c r="AE29" s="15"/>
      <c r="AF29" s="15"/>
    </row>
    <row r="30" spans="1:37">
      <c r="A30" s="871" t="s">
        <v>20</v>
      </c>
      <c r="B30" s="871"/>
      <c r="C30" s="871"/>
      <c r="D30" s="871"/>
      <c r="E30" s="871"/>
      <c r="F30" s="871"/>
      <c r="G30" s="871"/>
      <c r="H30" s="871"/>
      <c r="I30" s="871"/>
      <c r="J30" s="871"/>
      <c r="K30" s="871"/>
      <c r="L30" s="871"/>
      <c r="M30" s="871"/>
      <c r="N30" s="871"/>
      <c r="O30" s="871"/>
      <c r="P30" s="871"/>
      <c r="Q30" s="871"/>
      <c r="R30" s="871"/>
      <c r="S30" s="871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1:37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" t="s">
        <v>87</v>
      </c>
      <c r="T31" s="1"/>
      <c r="U31" s="1"/>
      <c r="V31" s="1"/>
      <c r="W31" s="14"/>
      <c r="X31" s="14"/>
      <c r="Y31" s="14"/>
      <c r="Z31" s="14"/>
      <c r="AE31" s="14"/>
      <c r="AF31" s="14"/>
    </row>
    <row r="34" spans="5:9">
      <c r="E34">
        <v>595</v>
      </c>
      <c r="F34">
        <v>210</v>
      </c>
      <c r="G34">
        <v>188.37</v>
      </c>
      <c r="H34">
        <f>SUM(E34:G34)</f>
        <v>993.37</v>
      </c>
      <c r="I34">
        <f>109922*10.5*600/100000</f>
        <v>6925.0860000000002</v>
      </c>
    </row>
    <row r="35" spans="5:9">
      <c r="E35" s="470">
        <f>600.71/993.37*E34</f>
        <v>359.80797688675926</v>
      </c>
      <c r="F35" s="470">
        <f t="shared" ref="F35:G35" si="7">600.71/993.37*F34</f>
        <v>126.99105066591503</v>
      </c>
      <c r="G35" s="470">
        <f t="shared" si="7"/>
        <v>113.91097244732579</v>
      </c>
      <c r="H35">
        <f>SUM(E35:G35)</f>
        <v>600.71</v>
      </c>
    </row>
    <row r="36" spans="5:9">
      <c r="E36">
        <v>19974.63</v>
      </c>
      <c r="F36">
        <v>6406.4</v>
      </c>
      <c r="G36">
        <v>4906.0600000000004</v>
      </c>
      <c r="H36">
        <f>SUM(E36:G36)</f>
        <v>31287.09</v>
      </c>
    </row>
    <row r="37" spans="5:9">
      <c r="E37">
        <f>31292.15/31287.09*E36</f>
        <v>19977.860457923704</v>
      </c>
      <c r="F37">
        <f t="shared" ref="F37:G37" si="8">31292.15/31287.09*F36</f>
        <v>6407.4360945680792</v>
      </c>
      <c r="G37">
        <f t="shared" si="8"/>
        <v>4906.8534475082224</v>
      </c>
      <c r="H37">
        <f>SUM(E37:G37)</f>
        <v>31292.150000000005</v>
      </c>
    </row>
    <row r="40" spans="5:9">
      <c r="I40" s="470">
        <f>6669.48+J16+J17+J18+J19</f>
        <v>42124.240000000005</v>
      </c>
    </row>
  </sheetData>
  <mergeCells count="19">
    <mergeCell ref="G2:O2"/>
    <mergeCell ref="A3:U3"/>
    <mergeCell ref="A4:U4"/>
    <mergeCell ref="A6:U6"/>
    <mergeCell ref="A8:C8"/>
    <mergeCell ref="Y17:AB17"/>
    <mergeCell ref="A29:AD29"/>
    <mergeCell ref="A30:S30"/>
    <mergeCell ref="AB10:AD10"/>
    <mergeCell ref="A11:A12"/>
    <mergeCell ref="B11:B12"/>
    <mergeCell ref="S28:T28"/>
    <mergeCell ref="C11:F12"/>
    <mergeCell ref="G12:J12"/>
    <mergeCell ref="K12:N12"/>
    <mergeCell ref="O12:R12"/>
    <mergeCell ref="G11:R11"/>
    <mergeCell ref="U10:V10"/>
    <mergeCell ref="S11:V12"/>
  </mergeCells>
  <printOptions horizontalCentered="1"/>
  <pageMargins left="0.70866141732283472" right="0.70866141732283472" top="0.23622047244094491" bottom="0" header="0.31496062992125984" footer="0.31496062992125984"/>
  <pageSetup paperSize="9" scale="64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51"/>
  <sheetViews>
    <sheetView view="pageBreakPreview" topLeftCell="A22" zoomScale="90" zoomScaleSheetLayoutView="90" workbookViewId="0">
      <selection activeCell="B45" sqref="B45"/>
    </sheetView>
  </sheetViews>
  <sheetFormatPr defaultRowHeight="12.75"/>
  <cols>
    <col min="1" max="1" width="8.5703125" style="224" customWidth="1"/>
    <col min="2" max="2" width="16.42578125" style="224" customWidth="1"/>
    <col min="3" max="3" width="12" style="224" customWidth="1"/>
    <col min="4" max="4" width="15.140625" style="224" customWidth="1"/>
    <col min="5" max="5" width="8.7109375" style="224" customWidth="1"/>
    <col min="6" max="6" width="7.28515625" style="224" customWidth="1"/>
    <col min="7" max="7" width="7.42578125" style="224" customWidth="1"/>
    <col min="8" max="8" width="6.28515625" style="224" customWidth="1"/>
    <col min="9" max="9" width="6.5703125" style="224" customWidth="1"/>
    <col min="10" max="10" width="6.7109375" style="224" customWidth="1"/>
    <col min="11" max="11" width="7.140625" style="224" customWidth="1"/>
    <col min="12" max="12" width="8.140625" style="224" customWidth="1"/>
    <col min="13" max="13" width="9.28515625" style="224" customWidth="1"/>
    <col min="14" max="15" width="11.42578125" style="224" customWidth="1"/>
    <col min="16" max="16" width="11.28515625" style="224" customWidth="1"/>
    <col min="17" max="16384" width="9.140625" style="224"/>
  </cols>
  <sheetData>
    <row r="1" spans="1:16">
      <c r="H1" s="918"/>
      <c r="I1" s="918"/>
      <c r="L1" s="227" t="s">
        <v>531</v>
      </c>
    </row>
    <row r="2" spans="1:16">
      <c r="D2" s="918" t="s">
        <v>483</v>
      </c>
      <c r="E2" s="918"/>
      <c r="F2" s="918"/>
      <c r="G2" s="918"/>
      <c r="H2" s="226"/>
      <c r="I2" s="226"/>
      <c r="L2" s="227"/>
    </row>
    <row r="3" spans="1:16" s="228" customFormat="1" ht="15.75">
      <c r="A3" s="1066" t="s">
        <v>709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</row>
    <row r="4" spans="1:16" s="228" customFormat="1" ht="20.25" customHeight="1">
      <c r="A4" s="1066" t="s">
        <v>775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  <c r="L4" s="1066"/>
      <c r="M4" s="1066"/>
    </row>
    <row r="6" spans="1:16">
      <c r="A6" s="229" t="s">
        <v>922</v>
      </c>
      <c r="B6" s="230"/>
      <c r="C6" s="231"/>
      <c r="D6" s="231"/>
      <c r="E6" s="231"/>
      <c r="F6" s="231"/>
      <c r="G6" s="231"/>
      <c r="H6" s="231"/>
      <c r="I6" s="231"/>
      <c r="J6" s="231"/>
    </row>
    <row r="8" spans="1:16" s="232" customFormat="1" ht="15" customHeight="1">
      <c r="A8" s="224"/>
      <c r="B8" s="224"/>
      <c r="C8" s="224"/>
      <c r="D8" s="224"/>
      <c r="E8" s="224"/>
      <c r="F8" s="224"/>
      <c r="G8" s="224"/>
      <c r="H8" s="224"/>
      <c r="I8" s="224"/>
      <c r="J8" s="224"/>
      <c r="K8" s="923" t="s">
        <v>784</v>
      </c>
      <c r="L8" s="923"/>
      <c r="M8" s="923"/>
      <c r="N8" s="923"/>
      <c r="O8" s="923"/>
      <c r="P8" s="923"/>
    </row>
    <row r="9" spans="1:16" s="232" customFormat="1" ht="20.25" customHeight="1">
      <c r="A9" s="1010" t="s">
        <v>2</v>
      </c>
      <c r="B9" s="1010" t="s">
        <v>3</v>
      </c>
      <c r="C9" s="1016" t="s">
        <v>273</v>
      </c>
      <c r="D9" s="1016" t="s">
        <v>274</v>
      </c>
      <c r="E9" s="1068" t="s">
        <v>275</v>
      </c>
      <c r="F9" s="1068"/>
      <c r="G9" s="1068"/>
      <c r="H9" s="1068"/>
      <c r="I9" s="1068"/>
      <c r="J9" s="1068"/>
      <c r="K9" s="1068"/>
      <c r="L9" s="1068"/>
      <c r="M9" s="1068"/>
      <c r="N9" s="1068"/>
      <c r="O9" s="1068"/>
      <c r="P9" s="1068"/>
    </row>
    <row r="10" spans="1:16" s="232" customFormat="1" ht="35.25" customHeight="1">
      <c r="A10" s="1067"/>
      <c r="B10" s="1067"/>
      <c r="C10" s="1017"/>
      <c r="D10" s="1017"/>
      <c r="E10" s="324" t="s">
        <v>801</v>
      </c>
      <c r="F10" s="324" t="s">
        <v>276</v>
      </c>
      <c r="G10" s="324" t="s">
        <v>277</v>
      </c>
      <c r="H10" s="324" t="s">
        <v>278</v>
      </c>
      <c r="I10" s="324" t="s">
        <v>279</v>
      </c>
      <c r="J10" s="324" t="s">
        <v>280</v>
      </c>
      <c r="K10" s="324" t="s">
        <v>281</v>
      </c>
      <c r="L10" s="324" t="s">
        <v>282</v>
      </c>
      <c r="M10" s="324" t="s">
        <v>802</v>
      </c>
      <c r="N10" s="245" t="s">
        <v>803</v>
      </c>
      <c r="O10" s="245" t="s">
        <v>804</v>
      </c>
      <c r="P10" s="245" t="s">
        <v>805</v>
      </c>
    </row>
    <row r="11" spans="1:16" s="232" customFormat="1" ht="12.75" customHeight="1">
      <c r="A11" s="235">
        <v>1</v>
      </c>
      <c r="B11" s="235">
        <v>2</v>
      </c>
      <c r="C11" s="235">
        <v>3</v>
      </c>
      <c r="D11" s="235">
        <v>4</v>
      </c>
      <c r="E11" s="235">
        <v>5</v>
      </c>
      <c r="F11" s="235">
        <v>6</v>
      </c>
      <c r="G11" s="235">
        <v>7</v>
      </c>
      <c r="H11" s="235">
        <v>8</v>
      </c>
      <c r="I11" s="235">
        <v>9</v>
      </c>
      <c r="J11" s="235">
        <v>10</v>
      </c>
      <c r="K11" s="235">
        <v>11</v>
      </c>
      <c r="L11" s="235">
        <v>12</v>
      </c>
      <c r="M11" s="235">
        <v>13</v>
      </c>
      <c r="N11" s="235">
        <v>14</v>
      </c>
      <c r="O11" s="235">
        <v>15</v>
      </c>
      <c r="P11" s="235">
        <v>16</v>
      </c>
    </row>
    <row r="12" spans="1:16" ht="15">
      <c r="A12" s="158">
        <v>1</v>
      </c>
      <c r="B12" s="19" t="s">
        <v>889</v>
      </c>
      <c r="C12" s="813">
        <v>1885</v>
      </c>
      <c r="D12" s="813">
        <v>1885</v>
      </c>
      <c r="E12" s="813">
        <v>1885</v>
      </c>
      <c r="F12" s="813">
        <v>1885</v>
      </c>
      <c r="G12" s="813">
        <v>1885</v>
      </c>
      <c r="H12" s="813">
        <v>1885</v>
      </c>
      <c r="I12" s="813">
        <v>1885</v>
      </c>
      <c r="J12" s="813">
        <v>1885</v>
      </c>
      <c r="K12" s="813">
        <v>1885</v>
      </c>
      <c r="L12" s="813">
        <v>1884</v>
      </c>
      <c r="M12" s="813">
        <v>1883</v>
      </c>
      <c r="N12" s="813">
        <v>1880</v>
      </c>
      <c r="O12" s="813">
        <v>1875</v>
      </c>
      <c r="P12" s="813">
        <v>1780</v>
      </c>
    </row>
    <row r="13" spans="1:16" ht="15">
      <c r="A13" s="158">
        <v>2</v>
      </c>
      <c r="B13" s="19" t="s">
        <v>890</v>
      </c>
      <c r="C13" s="813">
        <v>2918</v>
      </c>
      <c r="D13" s="813">
        <v>2915</v>
      </c>
      <c r="E13" s="813">
        <v>2875</v>
      </c>
      <c r="F13" s="813">
        <v>2858</v>
      </c>
      <c r="G13" s="813">
        <v>2856</v>
      </c>
      <c r="H13" s="813">
        <v>2848</v>
      </c>
      <c r="I13" s="813">
        <v>2847</v>
      </c>
      <c r="J13" s="813">
        <v>2846</v>
      </c>
      <c r="K13" s="813">
        <v>2843</v>
      </c>
      <c r="L13" s="813">
        <v>2831</v>
      </c>
      <c r="M13" s="813">
        <v>2754</v>
      </c>
      <c r="N13" s="813">
        <v>2615</v>
      </c>
      <c r="O13" s="813">
        <v>2428</v>
      </c>
      <c r="P13" s="813">
        <v>2053</v>
      </c>
    </row>
    <row r="14" spans="1:16" ht="15">
      <c r="A14" s="158">
        <v>3</v>
      </c>
      <c r="B14" s="19" t="s">
        <v>891</v>
      </c>
      <c r="C14" s="813">
        <v>2634</v>
      </c>
      <c r="D14" s="813">
        <v>2631</v>
      </c>
      <c r="E14" s="813">
        <v>2625</v>
      </c>
      <c r="F14" s="813">
        <v>2625</v>
      </c>
      <c r="G14" s="813">
        <v>2625</v>
      </c>
      <c r="H14" s="813">
        <v>2625</v>
      </c>
      <c r="I14" s="813">
        <v>2625</v>
      </c>
      <c r="J14" s="813">
        <v>2625</v>
      </c>
      <c r="K14" s="813">
        <v>2624</v>
      </c>
      <c r="L14" s="813">
        <v>2521</v>
      </c>
      <c r="M14" s="813">
        <v>2312</v>
      </c>
      <c r="N14" s="813">
        <v>1986</v>
      </c>
      <c r="O14" s="813">
        <v>1588</v>
      </c>
      <c r="P14" s="813">
        <v>352</v>
      </c>
    </row>
    <row r="15" spans="1:16" s="151" customFormat="1" ht="12.75" customHeight="1">
      <c r="A15" s="158">
        <v>4</v>
      </c>
      <c r="B15" s="19" t="s">
        <v>892</v>
      </c>
      <c r="C15" s="813">
        <v>1307</v>
      </c>
      <c r="D15" s="813">
        <v>1307</v>
      </c>
      <c r="E15" s="813">
        <v>1307</v>
      </c>
      <c r="F15" s="813">
        <v>1307</v>
      </c>
      <c r="G15" s="813">
        <v>1307</v>
      </c>
      <c r="H15" s="813">
        <v>1307</v>
      </c>
      <c r="I15" s="813">
        <v>1307</v>
      </c>
      <c r="J15" s="813">
        <v>1306</v>
      </c>
      <c r="K15" s="813">
        <v>1306</v>
      </c>
      <c r="L15" s="813">
        <v>1306</v>
      </c>
      <c r="M15" s="813">
        <v>1306</v>
      </c>
      <c r="N15" s="813">
        <v>1284</v>
      </c>
      <c r="O15" s="813">
        <v>727</v>
      </c>
      <c r="P15" s="813">
        <v>454</v>
      </c>
    </row>
    <row r="16" spans="1:16" s="151" customFormat="1" ht="12.75" customHeight="1">
      <c r="A16" s="158">
        <v>5</v>
      </c>
      <c r="B16" s="19" t="s">
        <v>893</v>
      </c>
      <c r="C16" s="813">
        <v>4949</v>
      </c>
      <c r="D16" s="813">
        <v>4948</v>
      </c>
      <c r="E16" s="813">
        <v>4938</v>
      </c>
      <c r="F16" s="813">
        <v>4938</v>
      </c>
      <c r="G16" s="813">
        <v>4938</v>
      </c>
      <c r="H16" s="813">
        <v>4938</v>
      </c>
      <c r="I16" s="813">
        <v>4938</v>
      </c>
      <c r="J16" s="813">
        <v>4938</v>
      </c>
      <c r="K16" s="813">
        <v>4928</v>
      </c>
      <c r="L16" s="813">
        <v>4925</v>
      </c>
      <c r="M16" s="813">
        <v>4924</v>
      </c>
      <c r="N16" s="813">
        <v>4731</v>
      </c>
      <c r="O16" s="813">
        <v>4478</v>
      </c>
      <c r="P16" s="813">
        <v>3798</v>
      </c>
    </row>
    <row r="17" spans="1:16" s="151" customFormat="1" ht="13.15" customHeight="1">
      <c r="A17" s="158">
        <v>6</v>
      </c>
      <c r="B17" s="19" t="s">
        <v>894</v>
      </c>
      <c r="C17" s="813">
        <v>1892</v>
      </c>
      <c r="D17" s="813">
        <v>1871</v>
      </c>
      <c r="E17" s="813">
        <v>1538</v>
      </c>
      <c r="F17" s="813">
        <v>1532</v>
      </c>
      <c r="G17" s="813">
        <v>1532</v>
      </c>
      <c r="H17" s="813">
        <v>1527</v>
      </c>
      <c r="I17" s="813">
        <v>1501</v>
      </c>
      <c r="J17" s="813">
        <v>1480</v>
      </c>
      <c r="K17" s="813">
        <v>1359</v>
      </c>
      <c r="L17" s="813">
        <v>1287</v>
      </c>
      <c r="M17" s="813">
        <v>1257</v>
      </c>
      <c r="N17" s="813">
        <v>1169</v>
      </c>
      <c r="O17" s="813">
        <v>769</v>
      </c>
      <c r="P17" s="813">
        <v>654</v>
      </c>
    </row>
    <row r="18" spans="1:16" ht="12.75" customHeight="1">
      <c r="A18" s="158">
        <v>7</v>
      </c>
      <c r="B18" s="19" t="s">
        <v>895</v>
      </c>
      <c r="C18" s="813">
        <v>2919</v>
      </c>
      <c r="D18" s="813">
        <v>2908</v>
      </c>
      <c r="E18" s="813">
        <v>2902</v>
      </c>
      <c r="F18" s="813">
        <v>2902</v>
      </c>
      <c r="G18" s="813">
        <v>2833</v>
      </c>
      <c r="H18" s="813">
        <v>2775</v>
      </c>
      <c r="I18" s="813">
        <v>2745</v>
      </c>
      <c r="J18" s="813">
        <v>2737</v>
      </c>
      <c r="K18" s="813">
        <v>2685</v>
      </c>
      <c r="L18" s="813">
        <v>2637</v>
      </c>
      <c r="M18" s="813">
        <v>2501</v>
      </c>
      <c r="N18" s="813">
        <v>1636</v>
      </c>
      <c r="O18" s="813">
        <v>1091</v>
      </c>
      <c r="P18" s="813">
        <v>860</v>
      </c>
    </row>
    <row r="19" spans="1:16" ht="15">
      <c r="A19" s="158">
        <v>8</v>
      </c>
      <c r="B19" s="19" t="s">
        <v>896</v>
      </c>
      <c r="C19" s="813">
        <v>1959</v>
      </c>
      <c r="D19" s="813">
        <v>1959</v>
      </c>
      <c r="E19" s="813">
        <v>1954</v>
      </c>
      <c r="F19" s="813">
        <v>1954</v>
      </c>
      <c r="G19" s="813">
        <v>1953</v>
      </c>
      <c r="H19" s="813">
        <v>1953</v>
      </c>
      <c r="I19" s="813">
        <v>1953</v>
      </c>
      <c r="J19" s="813">
        <v>1952</v>
      </c>
      <c r="K19" s="813">
        <v>1951</v>
      </c>
      <c r="L19" s="813">
        <v>1951</v>
      </c>
      <c r="M19" s="813">
        <v>1951</v>
      </c>
      <c r="N19" s="813">
        <v>1604</v>
      </c>
      <c r="O19" s="813">
        <v>1122</v>
      </c>
      <c r="P19" s="813">
        <v>829</v>
      </c>
    </row>
    <row r="20" spans="1:16" ht="15">
      <c r="A20" s="158">
        <v>9</v>
      </c>
      <c r="B20" s="19" t="s">
        <v>897</v>
      </c>
      <c r="C20" s="813">
        <v>1280</v>
      </c>
      <c r="D20" s="813">
        <v>1280</v>
      </c>
      <c r="E20" s="813">
        <v>1280</v>
      </c>
      <c r="F20" s="813">
        <v>1280</v>
      </c>
      <c r="G20" s="813">
        <v>1280</v>
      </c>
      <c r="H20" s="813">
        <v>1280</v>
      </c>
      <c r="I20" s="813">
        <v>1280</v>
      </c>
      <c r="J20" s="813">
        <v>1280</v>
      </c>
      <c r="K20" s="813">
        <v>1280</v>
      </c>
      <c r="L20" s="813">
        <v>1280</v>
      </c>
      <c r="M20" s="813">
        <v>1280</v>
      </c>
      <c r="N20" s="813">
        <v>1280</v>
      </c>
      <c r="O20" s="813">
        <v>1280</v>
      </c>
      <c r="P20" s="813">
        <v>749</v>
      </c>
    </row>
    <row r="21" spans="1:16" ht="15">
      <c r="A21" s="158">
        <v>10</v>
      </c>
      <c r="B21" s="19" t="s">
        <v>898</v>
      </c>
      <c r="C21" s="813">
        <v>1834</v>
      </c>
      <c r="D21" s="813">
        <v>1815</v>
      </c>
      <c r="E21" s="813">
        <v>1713</v>
      </c>
      <c r="F21" s="813">
        <v>1713</v>
      </c>
      <c r="G21" s="813">
        <v>1713</v>
      </c>
      <c r="H21" s="813">
        <v>1692</v>
      </c>
      <c r="I21" s="813">
        <v>1559</v>
      </c>
      <c r="J21" s="813">
        <v>1558</v>
      </c>
      <c r="K21" s="813">
        <v>1558</v>
      </c>
      <c r="L21" s="813">
        <v>1558</v>
      </c>
      <c r="M21" s="813">
        <v>1558</v>
      </c>
      <c r="N21" s="813">
        <v>1261</v>
      </c>
      <c r="O21" s="813">
        <v>875</v>
      </c>
      <c r="P21" s="813">
        <v>857</v>
      </c>
    </row>
    <row r="22" spans="1:16" ht="15">
      <c r="A22" s="158">
        <v>11</v>
      </c>
      <c r="B22" s="19" t="s">
        <v>899</v>
      </c>
      <c r="C22" s="813">
        <v>1426</v>
      </c>
      <c r="D22" s="813">
        <v>1426</v>
      </c>
      <c r="E22" s="813">
        <v>1397</v>
      </c>
      <c r="F22" s="813">
        <v>1397</v>
      </c>
      <c r="G22" s="813">
        <v>1397</v>
      </c>
      <c r="H22" s="813">
        <v>1397</v>
      </c>
      <c r="I22" s="813">
        <v>1397</v>
      </c>
      <c r="J22" s="813">
        <v>1397</v>
      </c>
      <c r="K22" s="813">
        <v>1392</v>
      </c>
      <c r="L22" s="813">
        <v>1386</v>
      </c>
      <c r="M22" s="813">
        <v>1121</v>
      </c>
      <c r="N22" s="813">
        <v>739</v>
      </c>
      <c r="O22" s="813">
        <v>728</v>
      </c>
      <c r="P22" s="813">
        <v>585</v>
      </c>
    </row>
    <row r="23" spans="1:16" ht="15">
      <c r="A23" s="158">
        <v>12</v>
      </c>
      <c r="B23" s="19" t="s">
        <v>900</v>
      </c>
      <c r="C23" s="813">
        <v>1549</v>
      </c>
      <c r="D23" s="813">
        <v>1549</v>
      </c>
      <c r="E23" s="813">
        <v>1547</v>
      </c>
      <c r="F23" s="813">
        <v>1547</v>
      </c>
      <c r="G23" s="813">
        <v>1547</v>
      </c>
      <c r="H23" s="813">
        <v>1547</v>
      </c>
      <c r="I23" s="813">
        <v>1542</v>
      </c>
      <c r="J23" s="813">
        <v>1537</v>
      </c>
      <c r="K23" s="813">
        <v>1503</v>
      </c>
      <c r="L23" s="813">
        <v>1440</v>
      </c>
      <c r="M23" s="813">
        <v>933</v>
      </c>
      <c r="N23" s="813">
        <v>435</v>
      </c>
      <c r="O23" s="813">
        <v>274</v>
      </c>
      <c r="P23" s="814"/>
    </row>
    <row r="24" spans="1:16" ht="15">
      <c r="A24" s="158">
        <v>13</v>
      </c>
      <c r="B24" s="19" t="s">
        <v>901</v>
      </c>
      <c r="C24" s="813">
        <v>1151</v>
      </c>
      <c r="D24" s="813">
        <v>1151</v>
      </c>
      <c r="E24" s="813">
        <v>1137</v>
      </c>
      <c r="F24" s="813">
        <v>1137</v>
      </c>
      <c r="G24" s="813">
        <v>1137</v>
      </c>
      <c r="H24" s="813">
        <v>1137</v>
      </c>
      <c r="I24" s="813">
        <v>1137</v>
      </c>
      <c r="J24" s="813">
        <v>1137</v>
      </c>
      <c r="K24" s="813">
        <v>1124</v>
      </c>
      <c r="L24" s="813">
        <v>1099</v>
      </c>
      <c r="M24" s="813">
        <v>736</v>
      </c>
      <c r="N24" s="813">
        <v>723</v>
      </c>
      <c r="O24" s="813">
        <v>638</v>
      </c>
      <c r="P24" s="813">
        <v>452</v>
      </c>
    </row>
    <row r="25" spans="1:16" ht="15">
      <c r="A25" s="158">
        <v>14</v>
      </c>
      <c r="B25" s="19" t="s">
        <v>902</v>
      </c>
      <c r="C25" s="813">
        <v>2198</v>
      </c>
      <c r="D25" s="813">
        <v>2156</v>
      </c>
      <c r="E25" s="813">
        <v>2147</v>
      </c>
      <c r="F25" s="813">
        <v>2147</v>
      </c>
      <c r="G25" s="813">
        <v>2147</v>
      </c>
      <c r="H25" s="813">
        <v>2147</v>
      </c>
      <c r="I25" s="813">
        <v>2145</v>
      </c>
      <c r="J25" s="813">
        <v>2138</v>
      </c>
      <c r="K25" s="813">
        <v>2135</v>
      </c>
      <c r="L25" s="813">
        <v>1900</v>
      </c>
      <c r="M25" s="813">
        <v>1644</v>
      </c>
      <c r="N25" s="813">
        <v>1005</v>
      </c>
      <c r="O25" s="813">
        <v>609</v>
      </c>
      <c r="P25" s="813">
        <v>605</v>
      </c>
    </row>
    <row r="26" spans="1:16" ht="15">
      <c r="A26" s="158">
        <v>15</v>
      </c>
      <c r="B26" s="19" t="s">
        <v>903</v>
      </c>
      <c r="C26" s="813">
        <v>1925</v>
      </c>
      <c r="D26" s="813">
        <v>1925</v>
      </c>
      <c r="E26" s="813">
        <v>1924</v>
      </c>
      <c r="F26" s="813">
        <v>1924</v>
      </c>
      <c r="G26" s="813">
        <v>1924</v>
      </c>
      <c r="H26" s="813">
        <v>1924</v>
      </c>
      <c r="I26" s="813">
        <v>1924</v>
      </c>
      <c r="J26" s="813">
        <v>1924</v>
      </c>
      <c r="K26" s="813">
        <v>1924</v>
      </c>
      <c r="L26" s="813">
        <v>1924</v>
      </c>
      <c r="M26" s="813">
        <v>1924</v>
      </c>
      <c r="N26" s="813">
        <v>1924</v>
      </c>
      <c r="O26" s="813">
        <v>1919</v>
      </c>
      <c r="P26" s="813">
        <v>1902</v>
      </c>
    </row>
    <row r="27" spans="1:16" ht="15">
      <c r="A27" s="158">
        <v>16</v>
      </c>
      <c r="B27" s="19" t="s">
        <v>904</v>
      </c>
      <c r="C27" s="813">
        <v>1089</v>
      </c>
      <c r="D27" s="813">
        <v>1087</v>
      </c>
      <c r="E27" s="813">
        <v>1087</v>
      </c>
      <c r="F27" s="813">
        <v>1087</v>
      </c>
      <c r="G27" s="813">
        <v>1087</v>
      </c>
      <c r="H27" s="813">
        <v>1087</v>
      </c>
      <c r="I27" s="813">
        <v>1087</v>
      </c>
      <c r="J27" s="813">
        <v>1087</v>
      </c>
      <c r="K27" s="813">
        <v>1087</v>
      </c>
      <c r="L27" s="813">
        <v>1087</v>
      </c>
      <c r="M27" s="813">
        <v>1087</v>
      </c>
      <c r="N27" s="813">
        <v>964</v>
      </c>
      <c r="O27" s="813">
        <v>964</v>
      </c>
      <c r="P27" s="813">
        <v>962</v>
      </c>
    </row>
    <row r="28" spans="1:16" ht="15">
      <c r="A28" s="158">
        <v>17</v>
      </c>
      <c r="B28" s="19" t="s">
        <v>905</v>
      </c>
      <c r="C28" s="813">
        <v>3741</v>
      </c>
      <c r="D28" s="813">
        <v>3735</v>
      </c>
      <c r="E28" s="813">
        <v>3731</v>
      </c>
      <c r="F28" s="813">
        <v>3731</v>
      </c>
      <c r="G28" s="813">
        <v>3731</v>
      </c>
      <c r="H28" s="813">
        <v>3731</v>
      </c>
      <c r="I28" s="813">
        <v>3731</v>
      </c>
      <c r="J28" s="813">
        <v>3731</v>
      </c>
      <c r="K28" s="813">
        <v>3731</v>
      </c>
      <c r="L28" s="813">
        <v>3731</v>
      </c>
      <c r="M28" s="813">
        <v>3677</v>
      </c>
      <c r="N28" s="813">
        <v>3363</v>
      </c>
      <c r="O28" s="813">
        <v>1492</v>
      </c>
      <c r="P28" s="813">
        <v>1006</v>
      </c>
    </row>
    <row r="29" spans="1:16" ht="15">
      <c r="A29" s="158">
        <v>18</v>
      </c>
      <c r="B29" s="19" t="s">
        <v>906</v>
      </c>
      <c r="C29" s="813">
        <v>1263</v>
      </c>
      <c r="D29" s="813">
        <v>1263</v>
      </c>
      <c r="E29" s="813">
        <v>1263</v>
      </c>
      <c r="F29" s="813">
        <v>1263</v>
      </c>
      <c r="G29" s="813">
        <v>1263</v>
      </c>
      <c r="H29" s="813">
        <v>1263</v>
      </c>
      <c r="I29" s="813">
        <v>1263</v>
      </c>
      <c r="J29" s="813">
        <v>1263</v>
      </c>
      <c r="K29" s="813">
        <v>1261</v>
      </c>
      <c r="L29" s="813">
        <v>1199</v>
      </c>
      <c r="M29" s="813">
        <v>995</v>
      </c>
      <c r="N29" s="813">
        <v>899</v>
      </c>
      <c r="O29" s="813">
        <v>503</v>
      </c>
      <c r="P29" s="813">
        <v>496</v>
      </c>
    </row>
    <row r="30" spans="1:16" ht="15">
      <c r="A30" s="158">
        <v>19</v>
      </c>
      <c r="B30" s="19" t="s">
        <v>907</v>
      </c>
      <c r="C30" s="813">
        <v>1898</v>
      </c>
      <c r="D30" s="813">
        <v>1896</v>
      </c>
      <c r="E30" s="813">
        <v>1888</v>
      </c>
      <c r="F30" s="813">
        <v>1888</v>
      </c>
      <c r="G30" s="813">
        <v>1888</v>
      </c>
      <c r="H30" s="813">
        <v>1887</v>
      </c>
      <c r="I30" s="813">
        <v>1887</v>
      </c>
      <c r="J30" s="813">
        <v>1887</v>
      </c>
      <c r="K30" s="813">
        <v>1887</v>
      </c>
      <c r="L30" s="813">
        <v>1887</v>
      </c>
      <c r="M30" s="813">
        <v>1887</v>
      </c>
      <c r="N30" s="813">
        <v>1886</v>
      </c>
      <c r="O30" s="813">
        <v>1886</v>
      </c>
      <c r="P30" s="813">
        <v>1460</v>
      </c>
    </row>
    <row r="31" spans="1:16" ht="15">
      <c r="A31" s="158">
        <v>20</v>
      </c>
      <c r="B31" s="19" t="s">
        <v>908</v>
      </c>
      <c r="C31" s="813">
        <v>1770</v>
      </c>
      <c r="D31" s="813">
        <v>1726</v>
      </c>
      <c r="E31" s="813">
        <v>1708</v>
      </c>
      <c r="F31" s="813">
        <v>1708</v>
      </c>
      <c r="G31" s="813">
        <v>1706</v>
      </c>
      <c r="H31" s="813">
        <v>1706</v>
      </c>
      <c r="I31" s="813">
        <v>1706</v>
      </c>
      <c r="J31" s="813">
        <v>1705</v>
      </c>
      <c r="K31" s="813">
        <v>1657</v>
      </c>
      <c r="L31" s="813">
        <v>1254</v>
      </c>
      <c r="M31" s="813">
        <v>1147</v>
      </c>
      <c r="N31" s="813">
        <v>963</v>
      </c>
      <c r="O31" s="813">
        <v>23</v>
      </c>
      <c r="P31" s="814"/>
    </row>
    <row r="32" spans="1:16" ht="15">
      <c r="A32" s="158">
        <v>21</v>
      </c>
      <c r="B32" s="19" t="s">
        <v>909</v>
      </c>
      <c r="C32" s="813">
        <v>1578</v>
      </c>
      <c r="D32" s="813">
        <v>1578</v>
      </c>
      <c r="E32" s="813">
        <v>1573</v>
      </c>
      <c r="F32" s="813">
        <v>1572</v>
      </c>
      <c r="G32" s="813">
        <v>1572</v>
      </c>
      <c r="H32" s="813">
        <v>1568</v>
      </c>
      <c r="I32" s="813">
        <v>1474</v>
      </c>
      <c r="J32" s="813">
        <v>1465</v>
      </c>
      <c r="K32" s="813">
        <v>1366</v>
      </c>
      <c r="L32" s="813">
        <v>1088</v>
      </c>
      <c r="M32" s="813">
        <v>1086</v>
      </c>
      <c r="N32" s="813">
        <v>1004</v>
      </c>
      <c r="O32" s="813">
        <v>1</v>
      </c>
      <c r="P32" s="814"/>
    </row>
    <row r="33" spans="1:16" ht="15">
      <c r="A33" s="158">
        <v>22</v>
      </c>
      <c r="B33" s="19" t="s">
        <v>910</v>
      </c>
      <c r="C33" s="813">
        <v>3529</v>
      </c>
      <c r="D33" s="813">
        <v>3525</v>
      </c>
      <c r="E33" s="813">
        <v>3524</v>
      </c>
      <c r="F33" s="813">
        <v>3524</v>
      </c>
      <c r="G33" s="813">
        <v>3524</v>
      </c>
      <c r="H33" s="813">
        <v>3524</v>
      </c>
      <c r="I33" s="813">
        <v>3524</v>
      </c>
      <c r="J33" s="813">
        <v>3524</v>
      </c>
      <c r="K33" s="813">
        <v>3524</v>
      </c>
      <c r="L33" s="813">
        <v>3524</v>
      </c>
      <c r="M33" s="813">
        <v>3456</v>
      </c>
      <c r="N33" s="813">
        <v>2928</v>
      </c>
      <c r="O33" s="813">
        <v>1234</v>
      </c>
      <c r="P33" s="813">
        <v>842</v>
      </c>
    </row>
    <row r="34" spans="1:16" ht="15">
      <c r="A34" s="158">
        <v>23</v>
      </c>
      <c r="B34" s="19" t="s">
        <v>911</v>
      </c>
      <c r="C34" s="813">
        <v>1392</v>
      </c>
      <c r="D34" s="813">
        <v>1260</v>
      </c>
      <c r="E34" s="813">
        <v>993</v>
      </c>
      <c r="F34" s="813">
        <v>988</v>
      </c>
      <c r="G34" s="813">
        <v>986</v>
      </c>
      <c r="H34" s="813">
        <v>982</v>
      </c>
      <c r="I34" s="813">
        <v>982</v>
      </c>
      <c r="J34" s="813">
        <v>982</v>
      </c>
      <c r="K34" s="813">
        <v>982</v>
      </c>
      <c r="L34" s="813">
        <v>981</v>
      </c>
      <c r="M34" s="813">
        <v>978</v>
      </c>
      <c r="N34" s="813">
        <v>922</v>
      </c>
      <c r="O34" s="813">
        <v>919</v>
      </c>
      <c r="P34" s="813">
        <v>632</v>
      </c>
    </row>
    <row r="35" spans="1:16" ht="15">
      <c r="A35" s="158">
        <v>24</v>
      </c>
      <c r="B35" s="19" t="s">
        <v>912</v>
      </c>
      <c r="C35" s="813">
        <v>1143</v>
      </c>
      <c r="D35" s="813">
        <v>1143</v>
      </c>
      <c r="E35" s="813">
        <v>1135</v>
      </c>
      <c r="F35" s="813">
        <v>1135</v>
      </c>
      <c r="G35" s="813">
        <v>1135</v>
      </c>
      <c r="H35" s="813">
        <v>1135</v>
      </c>
      <c r="I35" s="813">
        <v>1135</v>
      </c>
      <c r="J35" s="813">
        <v>1135</v>
      </c>
      <c r="K35" s="813">
        <v>1130</v>
      </c>
      <c r="L35" s="813">
        <v>1124</v>
      </c>
      <c r="M35" s="813">
        <v>1045</v>
      </c>
      <c r="N35" s="813">
        <v>869</v>
      </c>
      <c r="O35" s="813">
        <v>564</v>
      </c>
      <c r="P35" s="813">
        <v>392</v>
      </c>
    </row>
    <row r="36" spans="1:16" ht="15">
      <c r="A36" s="158">
        <v>25</v>
      </c>
      <c r="B36" s="19" t="s">
        <v>913</v>
      </c>
      <c r="C36" s="813">
        <v>3116</v>
      </c>
      <c r="D36" s="813">
        <v>3116</v>
      </c>
      <c r="E36" s="813">
        <v>3116</v>
      </c>
      <c r="F36" s="813">
        <v>3116</v>
      </c>
      <c r="G36" s="813">
        <v>3116</v>
      </c>
      <c r="H36" s="813">
        <v>3116</v>
      </c>
      <c r="I36" s="813">
        <v>3116</v>
      </c>
      <c r="J36" s="813">
        <v>3116</v>
      </c>
      <c r="K36" s="813">
        <v>3116</v>
      </c>
      <c r="L36" s="813">
        <v>3116</v>
      </c>
      <c r="M36" s="813">
        <v>3116</v>
      </c>
      <c r="N36" s="813">
        <v>2893</v>
      </c>
      <c r="O36" s="813">
        <v>2369</v>
      </c>
      <c r="P36" s="813">
        <v>1785</v>
      </c>
    </row>
    <row r="37" spans="1:16" ht="15">
      <c r="A37" s="158">
        <v>26</v>
      </c>
      <c r="B37" s="19" t="s">
        <v>914</v>
      </c>
      <c r="C37" s="813">
        <v>1793</v>
      </c>
      <c r="D37" s="813">
        <v>1787</v>
      </c>
      <c r="E37" s="813">
        <v>1786</v>
      </c>
      <c r="F37" s="813">
        <v>1786</v>
      </c>
      <c r="G37" s="813">
        <v>1786</v>
      </c>
      <c r="H37" s="813">
        <v>1786</v>
      </c>
      <c r="I37" s="813">
        <v>1781</v>
      </c>
      <c r="J37" s="813">
        <v>1779</v>
      </c>
      <c r="K37" s="813">
        <v>1778</v>
      </c>
      <c r="L37" s="813">
        <v>1774</v>
      </c>
      <c r="M37" s="813">
        <v>1764</v>
      </c>
      <c r="N37" s="813">
        <v>1650</v>
      </c>
      <c r="O37" s="813">
        <v>1636</v>
      </c>
      <c r="P37" s="813">
        <v>1593</v>
      </c>
    </row>
    <row r="38" spans="1:16" ht="15">
      <c r="A38" s="158">
        <v>27</v>
      </c>
      <c r="B38" s="19" t="s">
        <v>915</v>
      </c>
      <c r="C38" s="813">
        <v>1421</v>
      </c>
      <c r="D38" s="813">
        <v>1421</v>
      </c>
      <c r="E38" s="813">
        <v>1272</v>
      </c>
      <c r="F38" s="813">
        <v>1271</v>
      </c>
      <c r="G38" s="813">
        <v>1265</v>
      </c>
      <c r="H38" s="813">
        <v>1255</v>
      </c>
      <c r="I38" s="813">
        <v>1253</v>
      </c>
      <c r="J38" s="813">
        <v>1191</v>
      </c>
      <c r="K38" s="813">
        <v>1186</v>
      </c>
      <c r="L38" s="813">
        <v>1185</v>
      </c>
      <c r="M38" s="813">
        <v>1185</v>
      </c>
      <c r="N38" s="813">
        <v>1115</v>
      </c>
      <c r="O38" s="813">
        <v>808</v>
      </c>
      <c r="P38" s="813">
        <v>542</v>
      </c>
    </row>
    <row r="39" spans="1:16" ht="15">
      <c r="A39" s="158">
        <v>28</v>
      </c>
      <c r="B39" s="19" t="s">
        <v>916</v>
      </c>
      <c r="C39" s="813">
        <v>1687</v>
      </c>
      <c r="D39" s="813">
        <v>1687</v>
      </c>
      <c r="E39" s="813">
        <v>1687</v>
      </c>
      <c r="F39" s="813">
        <v>1687</v>
      </c>
      <c r="G39" s="813">
        <v>1687</v>
      </c>
      <c r="H39" s="813">
        <v>1687</v>
      </c>
      <c r="I39" s="813">
        <v>1687</v>
      </c>
      <c r="J39" s="813">
        <v>1687</v>
      </c>
      <c r="K39" s="813">
        <v>1687</v>
      </c>
      <c r="L39" s="813">
        <v>1687</v>
      </c>
      <c r="M39" s="813">
        <v>1685</v>
      </c>
      <c r="N39" s="813">
        <v>1685</v>
      </c>
      <c r="O39" s="813">
        <v>1507</v>
      </c>
      <c r="P39" s="813">
        <v>1507</v>
      </c>
    </row>
    <row r="40" spans="1:16" ht="15">
      <c r="A40" s="158">
        <v>29</v>
      </c>
      <c r="B40" s="19" t="s">
        <v>917</v>
      </c>
      <c r="C40" s="813">
        <v>1103</v>
      </c>
      <c r="D40" s="813">
        <v>1103</v>
      </c>
      <c r="E40" s="813">
        <v>1103</v>
      </c>
      <c r="F40" s="813">
        <v>1103</v>
      </c>
      <c r="G40" s="813">
        <v>1103</v>
      </c>
      <c r="H40" s="813">
        <v>1103</v>
      </c>
      <c r="I40" s="813">
        <v>1103</v>
      </c>
      <c r="J40" s="813">
        <v>1103</v>
      </c>
      <c r="K40" s="813">
        <v>1103</v>
      </c>
      <c r="L40" s="813">
        <v>1103</v>
      </c>
      <c r="M40" s="813">
        <v>1103</v>
      </c>
      <c r="N40" s="813">
        <v>1024</v>
      </c>
      <c r="O40" s="813">
        <v>891</v>
      </c>
      <c r="P40" s="813">
        <v>433</v>
      </c>
    </row>
    <row r="41" spans="1:16" ht="15">
      <c r="A41" s="158">
        <v>30</v>
      </c>
      <c r="B41" s="19" t="s">
        <v>918</v>
      </c>
      <c r="C41" s="813">
        <v>1959</v>
      </c>
      <c r="D41" s="813">
        <v>1959</v>
      </c>
      <c r="E41" s="813">
        <v>1959</v>
      </c>
      <c r="F41" s="813">
        <v>1959</v>
      </c>
      <c r="G41" s="813">
        <v>1959</v>
      </c>
      <c r="H41" s="813">
        <v>1959</v>
      </c>
      <c r="I41" s="813">
        <v>1959</v>
      </c>
      <c r="J41" s="813">
        <v>1959</v>
      </c>
      <c r="K41" s="813">
        <v>1959</v>
      </c>
      <c r="L41" s="813">
        <v>1959</v>
      </c>
      <c r="M41" s="813">
        <v>1948</v>
      </c>
      <c r="N41" s="813">
        <v>1815</v>
      </c>
      <c r="O41" s="813">
        <v>1224</v>
      </c>
      <c r="P41" s="813">
        <v>948</v>
      </c>
    </row>
    <row r="42" spans="1:16" ht="15">
      <c r="A42" s="158">
        <v>31</v>
      </c>
      <c r="B42" s="19" t="s">
        <v>919</v>
      </c>
      <c r="C42" s="813">
        <v>926</v>
      </c>
      <c r="D42" s="813">
        <v>926</v>
      </c>
      <c r="E42" s="813">
        <v>926</v>
      </c>
      <c r="F42" s="813">
        <v>926</v>
      </c>
      <c r="G42" s="813">
        <v>926</v>
      </c>
      <c r="H42" s="813">
        <v>926</v>
      </c>
      <c r="I42" s="813">
        <v>926</v>
      </c>
      <c r="J42" s="813">
        <v>926</v>
      </c>
      <c r="K42" s="813">
        <v>926</v>
      </c>
      <c r="L42" s="813">
        <v>926</v>
      </c>
      <c r="M42" s="813">
        <v>926</v>
      </c>
      <c r="N42" s="813">
        <v>926</v>
      </c>
      <c r="O42" s="813">
        <v>926</v>
      </c>
      <c r="P42" s="813">
        <v>926</v>
      </c>
    </row>
    <row r="43" spans="1:16" ht="15">
      <c r="A43" s="158">
        <v>32</v>
      </c>
      <c r="B43" s="19" t="s">
        <v>920</v>
      </c>
      <c r="C43" s="813">
        <v>1584</v>
      </c>
      <c r="D43" s="813">
        <v>1584</v>
      </c>
      <c r="E43" s="813">
        <v>1584</v>
      </c>
      <c r="F43" s="813">
        <v>1584</v>
      </c>
      <c r="G43" s="813">
        <v>1584</v>
      </c>
      <c r="H43" s="813">
        <v>1584</v>
      </c>
      <c r="I43" s="813">
        <v>1584</v>
      </c>
      <c r="J43" s="813">
        <v>1584</v>
      </c>
      <c r="K43" s="813">
        <v>1584</v>
      </c>
      <c r="L43" s="813">
        <v>1582</v>
      </c>
      <c r="M43" s="813">
        <v>1467</v>
      </c>
      <c r="N43" s="813">
        <v>1202</v>
      </c>
      <c r="O43" s="813">
        <v>593</v>
      </c>
      <c r="P43" s="813">
        <v>250</v>
      </c>
    </row>
    <row r="44" spans="1:16" ht="15">
      <c r="A44" s="158">
        <v>33</v>
      </c>
      <c r="B44" s="19" t="s">
        <v>921</v>
      </c>
      <c r="C44" s="813">
        <v>3913</v>
      </c>
      <c r="D44" s="813">
        <v>3911</v>
      </c>
      <c r="E44" s="813">
        <v>3251</v>
      </c>
      <c r="F44" s="813">
        <v>3141</v>
      </c>
      <c r="G44" s="813">
        <v>3114</v>
      </c>
      <c r="H44" s="813">
        <v>3058</v>
      </c>
      <c r="I44" s="813">
        <v>2850</v>
      </c>
      <c r="J44" s="813">
        <v>2699</v>
      </c>
      <c r="K44" s="813">
        <v>2675</v>
      </c>
      <c r="L44" s="813">
        <v>2655</v>
      </c>
      <c r="M44" s="813">
        <v>2569</v>
      </c>
      <c r="N44" s="813">
        <v>2123</v>
      </c>
      <c r="O44" s="813">
        <v>1563</v>
      </c>
      <c r="P44" s="813">
        <v>1237</v>
      </c>
    </row>
    <row r="45" spans="1:16" ht="15">
      <c r="B45" s="156" t="s">
        <v>19</v>
      </c>
      <c r="C45" s="812">
        <v>66731</v>
      </c>
      <c r="D45" s="812">
        <v>66433</v>
      </c>
      <c r="E45" s="812">
        <v>64755</v>
      </c>
      <c r="F45" s="812">
        <v>64615</v>
      </c>
      <c r="G45" s="812">
        <v>64506</v>
      </c>
      <c r="H45" s="812">
        <v>64339</v>
      </c>
      <c r="I45" s="812">
        <v>63833</v>
      </c>
      <c r="J45" s="812">
        <v>63563</v>
      </c>
      <c r="K45" s="812">
        <v>63136</v>
      </c>
      <c r="L45" s="812">
        <v>61791</v>
      </c>
      <c r="M45" s="812">
        <v>59205</v>
      </c>
      <c r="N45" s="812">
        <v>52503</v>
      </c>
      <c r="O45" s="812">
        <v>39504</v>
      </c>
      <c r="P45" s="812">
        <v>30941</v>
      </c>
    </row>
    <row r="48" spans="1:16">
      <c r="H48" s="917" t="s">
        <v>13</v>
      </c>
      <c r="I48" s="917"/>
      <c r="J48" s="917"/>
      <c r="K48" s="917"/>
      <c r="L48" s="917"/>
      <c r="M48" s="917"/>
    </row>
    <row r="49" spans="1:13">
      <c r="H49" s="917" t="s">
        <v>14</v>
      </c>
      <c r="I49" s="917"/>
      <c r="J49" s="917"/>
      <c r="K49" s="917"/>
      <c r="L49" s="917"/>
      <c r="M49" s="917"/>
    </row>
    <row r="50" spans="1:13">
      <c r="H50" s="917" t="s">
        <v>90</v>
      </c>
      <c r="I50" s="917"/>
      <c r="J50" s="917"/>
      <c r="K50" s="917"/>
      <c r="L50" s="917"/>
      <c r="M50" s="917"/>
    </row>
    <row r="51" spans="1:13">
      <c r="A51" s="224" t="s">
        <v>12</v>
      </c>
      <c r="H51" s="918" t="s">
        <v>87</v>
      </c>
      <c r="I51" s="918"/>
      <c r="J51" s="918"/>
      <c r="K51" s="918"/>
    </row>
  </sheetData>
  <mergeCells count="14">
    <mergeCell ref="H49:M49"/>
    <mergeCell ref="H50:M50"/>
    <mergeCell ref="H51:K51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H48:M48"/>
  </mergeCells>
  <hyperlinks>
    <hyperlink ref="C12" r:id="rId1" display="javascript:__doPostBack('ctl00$ContentPlaceHolder1$Grd_tot_detail$ctl02$lbtnttlsch','')"/>
    <hyperlink ref="D12" r:id="rId2" display="javascript:__doPostBack('ctl00$ContentPlaceHolder1$Grd_tot_detail$ctl02$lbtnfreezsch','')"/>
    <hyperlink ref="E12" r:id="rId3" display="javascript:__doPostBack('ctl00$ContentPlaceHolder1$Grd_tot_detail$ctl02$hypapr','')"/>
    <hyperlink ref="F12" r:id="rId4" display="javascript:__doPostBack('ctl00$ContentPlaceHolder1$Grd_tot_detail$ctl02$hypmay','')"/>
    <hyperlink ref="G12" r:id="rId5" display="javascript:__doPostBack('ctl00$ContentPlaceHolder1$Grd_tot_detail$ctl02$hypjune','')"/>
    <hyperlink ref="H12" r:id="rId6" display="javascript:__doPostBack('ctl00$ContentPlaceHolder1$Grd_tot_detail$ctl02$hypjuly','')"/>
    <hyperlink ref="I12" r:id="rId7" display="javascript:__doPostBack('ctl00$ContentPlaceHolder1$Grd_tot_detail$ctl02$hypAugust','')"/>
    <hyperlink ref="J12" r:id="rId8" display="javascript:__doPostBack('ctl00$ContentPlaceHolder1$Grd_tot_detail$ctl02$hypSeptember','')"/>
    <hyperlink ref="K12" r:id="rId9" display="javascript:__doPostBack('ctl00$ContentPlaceHolder1$Grd_tot_detail$ctl02$hypOcteber','')"/>
    <hyperlink ref="L12" r:id="rId10" display="javascript:__doPostBack('ctl00$ContentPlaceHolder1$Grd_tot_detail$ctl02$hypNovember','')"/>
    <hyperlink ref="M12" r:id="rId11" display="javascript:__doPostBack('ctl00$ContentPlaceHolder1$Grd_tot_detail$ctl02$hypDecember','')"/>
    <hyperlink ref="N12" r:id="rId12" display="javascript:__doPostBack('ctl00$ContentPlaceHolder1$Grd_tot_detail$ctl02$hypJanuary','')"/>
    <hyperlink ref="O12" r:id="rId13" display="javascript:__doPostBack('ctl00$ContentPlaceHolder1$Grd_tot_detail$ctl02$hypFeb','')"/>
    <hyperlink ref="P12" r:id="rId14" display="javascript:__doPostBack('ctl00$ContentPlaceHolder1$Grd_tot_detail$ctl02$hypMarch','')"/>
    <hyperlink ref="C13" r:id="rId15" display="javascript:__doPostBack('ctl00$ContentPlaceHolder1$Grd_tot_detail$ctl03$lbtnttlsch','')"/>
    <hyperlink ref="D13" r:id="rId16" display="javascript:__doPostBack('ctl00$ContentPlaceHolder1$Grd_tot_detail$ctl03$lbtnfreezsch','')"/>
    <hyperlink ref="E13" r:id="rId17" display="javascript:__doPostBack('ctl00$ContentPlaceHolder1$Grd_tot_detail$ctl03$hypapr','')"/>
    <hyperlink ref="F13" r:id="rId18" display="javascript:__doPostBack('ctl00$ContentPlaceHolder1$Grd_tot_detail$ctl03$hypmay','')"/>
    <hyperlink ref="G13" r:id="rId19" display="javascript:__doPostBack('ctl00$ContentPlaceHolder1$Grd_tot_detail$ctl03$hypjune','')"/>
    <hyperlink ref="H13" r:id="rId20" display="javascript:__doPostBack('ctl00$ContentPlaceHolder1$Grd_tot_detail$ctl03$hypjuly','')"/>
    <hyperlink ref="I13" r:id="rId21" display="javascript:__doPostBack('ctl00$ContentPlaceHolder1$Grd_tot_detail$ctl03$hypAugust','')"/>
    <hyperlink ref="J13" r:id="rId22" display="javascript:__doPostBack('ctl00$ContentPlaceHolder1$Grd_tot_detail$ctl03$hypSeptember','')"/>
    <hyperlink ref="K13" r:id="rId23" display="javascript:__doPostBack('ctl00$ContentPlaceHolder1$Grd_tot_detail$ctl03$hypOcteber','')"/>
    <hyperlink ref="L13" r:id="rId24" display="javascript:__doPostBack('ctl00$ContentPlaceHolder1$Grd_tot_detail$ctl03$hypNovember','')"/>
    <hyperlink ref="M13" r:id="rId25" display="javascript:__doPostBack('ctl00$ContentPlaceHolder1$Grd_tot_detail$ctl03$hypDecember','')"/>
    <hyperlink ref="N13" r:id="rId26" display="javascript:__doPostBack('ctl00$ContentPlaceHolder1$Grd_tot_detail$ctl03$hypJanuary','')"/>
    <hyperlink ref="O13" r:id="rId27" display="javascript:__doPostBack('ctl00$ContentPlaceHolder1$Grd_tot_detail$ctl03$hypFeb','')"/>
    <hyperlink ref="P13" r:id="rId28" display="javascript:__doPostBack('ctl00$ContentPlaceHolder1$Grd_tot_detail$ctl03$hypMarch','')"/>
    <hyperlink ref="C14" r:id="rId29" display="javascript:__doPostBack('ctl00$ContentPlaceHolder1$Grd_tot_detail$ctl04$lbtnttlsch','')"/>
    <hyperlink ref="D14" r:id="rId30" display="javascript:__doPostBack('ctl00$ContentPlaceHolder1$Grd_tot_detail$ctl04$lbtnfreezsch','')"/>
    <hyperlink ref="E14" r:id="rId31" display="javascript:__doPostBack('ctl00$ContentPlaceHolder1$Grd_tot_detail$ctl04$hypapr','')"/>
    <hyperlink ref="F14" r:id="rId32" display="javascript:__doPostBack('ctl00$ContentPlaceHolder1$Grd_tot_detail$ctl04$hypmay','')"/>
    <hyperlink ref="G14" r:id="rId33" display="javascript:__doPostBack('ctl00$ContentPlaceHolder1$Grd_tot_detail$ctl04$hypjune','')"/>
    <hyperlink ref="H14" r:id="rId34" display="javascript:__doPostBack('ctl00$ContentPlaceHolder1$Grd_tot_detail$ctl04$hypjuly','')"/>
    <hyperlink ref="I14" r:id="rId35" display="javascript:__doPostBack('ctl00$ContentPlaceHolder1$Grd_tot_detail$ctl04$hypAugust','')"/>
    <hyperlink ref="J14" r:id="rId36" display="javascript:__doPostBack('ctl00$ContentPlaceHolder1$Grd_tot_detail$ctl04$hypSeptember','')"/>
    <hyperlink ref="K14" r:id="rId37" display="javascript:__doPostBack('ctl00$ContentPlaceHolder1$Grd_tot_detail$ctl04$hypOcteber','')"/>
    <hyperlink ref="L14" r:id="rId38" display="javascript:__doPostBack('ctl00$ContentPlaceHolder1$Grd_tot_detail$ctl04$hypNovember','')"/>
    <hyperlink ref="M14" r:id="rId39" display="javascript:__doPostBack('ctl00$ContentPlaceHolder1$Grd_tot_detail$ctl04$hypDecember','')"/>
    <hyperlink ref="N14" r:id="rId40" display="javascript:__doPostBack('ctl00$ContentPlaceHolder1$Grd_tot_detail$ctl04$hypJanuary','')"/>
    <hyperlink ref="O14" r:id="rId41" display="javascript:__doPostBack('ctl00$ContentPlaceHolder1$Grd_tot_detail$ctl04$hypFeb','')"/>
    <hyperlink ref="P14" r:id="rId42" display="javascript:__doPostBack('ctl00$ContentPlaceHolder1$Grd_tot_detail$ctl04$hypMarch','')"/>
    <hyperlink ref="C15" r:id="rId43" display="javascript:__doPostBack('ctl00$ContentPlaceHolder1$Grd_tot_detail$ctl05$lbtnttlsch','')"/>
    <hyperlink ref="D15" r:id="rId44" display="javascript:__doPostBack('ctl00$ContentPlaceHolder1$Grd_tot_detail$ctl05$lbtnfreezsch','')"/>
    <hyperlink ref="E15" r:id="rId45" display="javascript:__doPostBack('ctl00$ContentPlaceHolder1$Grd_tot_detail$ctl05$hypapr','')"/>
    <hyperlink ref="F15" r:id="rId46" display="javascript:__doPostBack('ctl00$ContentPlaceHolder1$Grd_tot_detail$ctl05$hypmay','')"/>
    <hyperlink ref="G15" r:id="rId47" display="javascript:__doPostBack('ctl00$ContentPlaceHolder1$Grd_tot_detail$ctl05$hypjune','')"/>
    <hyperlink ref="H15" r:id="rId48" display="javascript:__doPostBack('ctl00$ContentPlaceHolder1$Grd_tot_detail$ctl05$hypjuly','')"/>
    <hyperlink ref="I15" r:id="rId49" display="javascript:__doPostBack('ctl00$ContentPlaceHolder1$Grd_tot_detail$ctl05$hypAugust','')"/>
    <hyperlink ref="J15" r:id="rId50" display="javascript:__doPostBack('ctl00$ContentPlaceHolder1$Grd_tot_detail$ctl05$hypSeptember','')"/>
    <hyperlink ref="K15" r:id="rId51" display="javascript:__doPostBack('ctl00$ContentPlaceHolder1$Grd_tot_detail$ctl05$hypOcteber','')"/>
    <hyperlink ref="L15" r:id="rId52" display="javascript:__doPostBack('ctl00$ContentPlaceHolder1$Grd_tot_detail$ctl05$hypNovember','')"/>
    <hyperlink ref="M15" r:id="rId53" display="javascript:__doPostBack('ctl00$ContentPlaceHolder1$Grd_tot_detail$ctl05$hypDecember','')"/>
    <hyperlink ref="N15" r:id="rId54" display="javascript:__doPostBack('ctl00$ContentPlaceHolder1$Grd_tot_detail$ctl05$hypJanuary','')"/>
    <hyperlink ref="O15" r:id="rId55" display="javascript:__doPostBack('ctl00$ContentPlaceHolder1$Grd_tot_detail$ctl05$hypFeb','')"/>
    <hyperlink ref="P15" r:id="rId56" display="javascript:__doPostBack('ctl00$ContentPlaceHolder1$Grd_tot_detail$ctl05$hypMarch','')"/>
    <hyperlink ref="C16" r:id="rId57" display="javascript:__doPostBack('ctl00$ContentPlaceHolder1$Grd_tot_detail$ctl06$lbtnttlsch','')"/>
    <hyperlink ref="D16" r:id="rId58" display="javascript:__doPostBack('ctl00$ContentPlaceHolder1$Grd_tot_detail$ctl06$lbtnfreezsch','')"/>
    <hyperlink ref="E16" r:id="rId59" display="javascript:__doPostBack('ctl00$ContentPlaceHolder1$Grd_tot_detail$ctl06$hypapr','')"/>
    <hyperlink ref="F16" r:id="rId60" display="javascript:__doPostBack('ctl00$ContentPlaceHolder1$Grd_tot_detail$ctl06$hypmay','')"/>
    <hyperlink ref="G16" r:id="rId61" display="javascript:__doPostBack('ctl00$ContentPlaceHolder1$Grd_tot_detail$ctl06$hypjune','')"/>
    <hyperlink ref="H16" r:id="rId62" display="javascript:__doPostBack('ctl00$ContentPlaceHolder1$Grd_tot_detail$ctl06$hypjuly','')"/>
    <hyperlink ref="I16" r:id="rId63" display="javascript:__doPostBack('ctl00$ContentPlaceHolder1$Grd_tot_detail$ctl06$hypAugust','')"/>
    <hyperlink ref="J16" r:id="rId64" display="javascript:__doPostBack('ctl00$ContentPlaceHolder1$Grd_tot_detail$ctl06$hypSeptember','')"/>
    <hyperlink ref="K16" r:id="rId65" display="javascript:__doPostBack('ctl00$ContentPlaceHolder1$Grd_tot_detail$ctl06$hypOcteber','')"/>
    <hyperlink ref="L16" r:id="rId66" display="javascript:__doPostBack('ctl00$ContentPlaceHolder1$Grd_tot_detail$ctl06$hypNovember','')"/>
    <hyperlink ref="M16" r:id="rId67" display="javascript:__doPostBack('ctl00$ContentPlaceHolder1$Grd_tot_detail$ctl06$hypDecember','')"/>
    <hyperlink ref="N16" r:id="rId68" display="javascript:__doPostBack('ctl00$ContentPlaceHolder1$Grd_tot_detail$ctl06$hypJanuary','')"/>
    <hyperlink ref="O16" r:id="rId69" display="javascript:__doPostBack('ctl00$ContentPlaceHolder1$Grd_tot_detail$ctl06$hypFeb','')"/>
    <hyperlink ref="P16" r:id="rId70" display="javascript:__doPostBack('ctl00$ContentPlaceHolder1$Grd_tot_detail$ctl06$hypMarch','')"/>
    <hyperlink ref="C17" r:id="rId71" display="javascript:__doPostBack('ctl00$ContentPlaceHolder1$Grd_tot_detail$ctl07$lbtnttlsch','')"/>
    <hyperlink ref="D17" r:id="rId72" display="javascript:__doPostBack('ctl00$ContentPlaceHolder1$Grd_tot_detail$ctl07$lbtnfreezsch','')"/>
    <hyperlink ref="E17" r:id="rId73" display="javascript:__doPostBack('ctl00$ContentPlaceHolder1$Grd_tot_detail$ctl07$hypapr','')"/>
    <hyperlink ref="F17" r:id="rId74" display="javascript:__doPostBack('ctl00$ContentPlaceHolder1$Grd_tot_detail$ctl07$hypmay','')"/>
    <hyperlink ref="G17" r:id="rId75" display="javascript:__doPostBack('ctl00$ContentPlaceHolder1$Grd_tot_detail$ctl07$hypjune','')"/>
    <hyperlink ref="H17" r:id="rId76" display="javascript:__doPostBack('ctl00$ContentPlaceHolder1$Grd_tot_detail$ctl07$hypjuly','')"/>
    <hyperlink ref="I17" r:id="rId77" display="javascript:__doPostBack('ctl00$ContentPlaceHolder1$Grd_tot_detail$ctl07$hypAugust','')"/>
    <hyperlink ref="J17" r:id="rId78" display="javascript:__doPostBack('ctl00$ContentPlaceHolder1$Grd_tot_detail$ctl07$hypSeptember','')"/>
    <hyperlink ref="K17" r:id="rId79" display="javascript:__doPostBack('ctl00$ContentPlaceHolder1$Grd_tot_detail$ctl07$hypOcteber','')"/>
    <hyperlink ref="L17" r:id="rId80" display="javascript:__doPostBack('ctl00$ContentPlaceHolder1$Grd_tot_detail$ctl07$hypNovember','')"/>
    <hyperlink ref="M17" r:id="rId81" display="javascript:__doPostBack('ctl00$ContentPlaceHolder1$Grd_tot_detail$ctl07$hypDecember','')"/>
    <hyperlink ref="N17" r:id="rId82" display="javascript:__doPostBack('ctl00$ContentPlaceHolder1$Grd_tot_detail$ctl07$hypJanuary','')"/>
    <hyperlink ref="O17" r:id="rId83" display="javascript:__doPostBack('ctl00$ContentPlaceHolder1$Grd_tot_detail$ctl07$hypFeb','')"/>
    <hyperlink ref="P17" r:id="rId84" display="javascript:__doPostBack('ctl00$ContentPlaceHolder1$Grd_tot_detail$ctl07$hypMarch','')"/>
    <hyperlink ref="C18" r:id="rId85" display="javascript:__doPostBack('ctl00$ContentPlaceHolder1$Grd_tot_detail$ctl08$lbtnttlsch','')"/>
    <hyperlink ref="D18" r:id="rId86" display="javascript:__doPostBack('ctl00$ContentPlaceHolder1$Grd_tot_detail$ctl08$lbtnfreezsch','')"/>
    <hyperlink ref="E18" r:id="rId87" display="javascript:__doPostBack('ctl00$ContentPlaceHolder1$Grd_tot_detail$ctl08$hypapr','')"/>
    <hyperlink ref="F18" r:id="rId88" display="javascript:__doPostBack('ctl00$ContentPlaceHolder1$Grd_tot_detail$ctl08$hypmay','')"/>
    <hyperlink ref="G18" r:id="rId89" display="javascript:__doPostBack('ctl00$ContentPlaceHolder1$Grd_tot_detail$ctl08$hypjune','')"/>
    <hyperlink ref="H18" r:id="rId90" display="javascript:__doPostBack('ctl00$ContentPlaceHolder1$Grd_tot_detail$ctl08$hypjuly','')"/>
    <hyperlink ref="I18" r:id="rId91" display="javascript:__doPostBack('ctl00$ContentPlaceHolder1$Grd_tot_detail$ctl08$hypAugust','')"/>
    <hyperlink ref="J18" r:id="rId92" display="javascript:__doPostBack('ctl00$ContentPlaceHolder1$Grd_tot_detail$ctl08$hypSeptember','')"/>
    <hyperlink ref="K18" r:id="rId93" display="javascript:__doPostBack('ctl00$ContentPlaceHolder1$Grd_tot_detail$ctl08$hypOcteber','')"/>
    <hyperlink ref="L18" r:id="rId94" display="javascript:__doPostBack('ctl00$ContentPlaceHolder1$Grd_tot_detail$ctl08$hypNovember','')"/>
    <hyperlink ref="M18" r:id="rId95" display="javascript:__doPostBack('ctl00$ContentPlaceHolder1$Grd_tot_detail$ctl08$hypDecember','')"/>
    <hyperlink ref="N18" r:id="rId96" display="javascript:__doPostBack('ctl00$ContentPlaceHolder1$Grd_tot_detail$ctl08$hypJanuary','')"/>
    <hyperlink ref="O18" r:id="rId97" display="javascript:__doPostBack('ctl00$ContentPlaceHolder1$Grd_tot_detail$ctl08$hypFeb','')"/>
    <hyperlink ref="P18" r:id="rId98" display="javascript:__doPostBack('ctl00$ContentPlaceHolder1$Grd_tot_detail$ctl08$hypMarch','')"/>
    <hyperlink ref="C19" r:id="rId99" display="javascript:__doPostBack('ctl00$ContentPlaceHolder1$Grd_tot_detail$ctl09$lbtnttlsch','')"/>
    <hyperlink ref="D19" r:id="rId100" display="javascript:__doPostBack('ctl00$ContentPlaceHolder1$Grd_tot_detail$ctl09$lbtnfreezsch','')"/>
    <hyperlink ref="E19" r:id="rId101" display="javascript:__doPostBack('ctl00$ContentPlaceHolder1$Grd_tot_detail$ctl09$hypapr','')"/>
    <hyperlink ref="F19" r:id="rId102" display="javascript:__doPostBack('ctl00$ContentPlaceHolder1$Grd_tot_detail$ctl09$hypmay','')"/>
    <hyperlink ref="G19" r:id="rId103" display="javascript:__doPostBack('ctl00$ContentPlaceHolder1$Grd_tot_detail$ctl09$hypjune','')"/>
    <hyperlink ref="H19" r:id="rId104" display="javascript:__doPostBack('ctl00$ContentPlaceHolder1$Grd_tot_detail$ctl09$hypjuly','')"/>
    <hyperlink ref="I19" r:id="rId105" display="javascript:__doPostBack('ctl00$ContentPlaceHolder1$Grd_tot_detail$ctl09$hypAugust','')"/>
    <hyperlink ref="J19" r:id="rId106" display="javascript:__doPostBack('ctl00$ContentPlaceHolder1$Grd_tot_detail$ctl09$hypSeptember','')"/>
    <hyperlink ref="K19" r:id="rId107" display="javascript:__doPostBack('ctl00$ContentPlaceHolder1$Grd_tot_detail$ctl09$hypOcteber','')"/>
    <hyperlink ref="L19" r:id="rId108" display="javascript:__doPostBack('ctl00$ContentPlaceHolder1$Grd_tot_detail$ctl09$hypNovember','')"/>
    <hyperlink ref="M19" r:id="rId109" display="javascript:__doPostBack('ctl00$ContentPlaceHolder1$Grd_tot_detail$ctl09$hypDecember','')"/>
    <hyperlink ref="N19" r:id="rId110" display="javascript:__doPostBack('ctl00$ContentPlaceHolder1$Grd_tot_detail$ctl09$hypJanuary','')"/>
    <hyperlink ref="O19" r:id="rId111" display="javascript:__doPostBack('ctl00$ContentPlaceHolder1$Grd_tot_detail$ctl09$hypFeb','')"/>
    <hyperlink ref="P19" r:id="rId112" display="javascript:__doPostBack('ctl00$ContentPlaceHolder1$Grd_tot_detail$ctl09$hypMarch','')"/>
    <hyperlink ref="C20" r:id="rId113" display="javascript:__doPostBack('ctl00$ContentPlaceHolder1$Grd_tot_detail$ctl10$lbtnttlsch','')"/>
    <hyperlink ref="D20" r:id="rId114" display="javascript:__doPostBack('ctl00$ContentPlaceHolder1$Grd_tot_detail$ctl10$lbtnfreezsch','')"/>
    <hyperlink ref="E20" r:id="rId115" display="javascript:__doPostBack('ctl00$ContentPlaceHolder1$Grd_tot_detail$ctl10$hypapr','')"/>
    <hyperlink ref="F20" r:id="rId116" display="javascript:__doPostBack('ctl00$ContentPlaceHolder1$Grd_tot_detail$ctl10$hypmay','')"/>
    <hyperlink ref="G20" r:id="rId117" display="javascript:__doPostBack('ctl00$ContentPlaceHolder1$Grd_tot_detail$ctl10$hypjune','')"/>
    <hyperlink ref="H20" r:id="rId118" display="javascript:__doPostBack('ctl00$ContentPlaceHolder1$Grd_tot_detail$ctl10$hypjuly','')"/>
    <hyperlink ref="I20" r:id="rId119" display="javascript:__doPostBack('ctl00$ContentPlaceHolder1$Grd_tot_detail$ctl10$hypAugust','')"/>
    <hyperlink ref="J20" r:id="rId120" display="javascript:__doPostBack('ctl00$ContentPlaceHolder1$Grd_tot_detail$ctl10$hypSeptember','')"/>
    <hyperlink ref="K20" r:id="rId121" display="javascript:__doPostBack('ctl00$ContentPlaceHolder1$Grd_tot_detail$ctl10$hypOcteber','')"/>
    <hyperlink ref="L20" r:id="rId122" display="javascript:__doPostBack('ctl00$ContentPlaceHolder1$Grd_tot_detail$ctl10$hypNovember','')"/>
    <hyperlink ref="M20" r:id="rId123" display="javascript:__doPostBack('ctl00$ContentPlaceHolder1$Grd_tot_detail$ctl10$hypDecember','')"/>
    <hyperlink ref="N20" r:id="rId124" display="javascript:__doPostBack('ctl00$ContentPlaceHolder1$Grd_tot_detail$ctl10$hypJanuary','')"/>
    <hyperlink ref="O20" r:id="rId125" display="javascript:__doPostBack('ctl00$ContentPlaceHolder1$Grd_tot_detail$ctl10$hypFeb','')"/>
    <hyperlink ref="P20" r:id="rId126" display="javascript:__doPostBack('ctl00$ContentPlaceHolder1$Grd_tot_detail$ctl10$hypMarch','')"/>
    <hyperlink ref="C21" r:id="rId127" display="javascript:__doPostBack('ctl00$ContentPlaceHolder1$Grd_tot_detail$ctl11$lbtnttlsch','')"/>
    <hyperlink ref="D21" r:id="rId128" display="javascript:__doPostBack('ctl00$ContentPlaceHolder1$Grd_tot_detail$ctl11$lbtnfreezsch','')"/>
    <hyperlink ref="E21" r:id="rId129" display="javascript:__doPostBack('ctl00$ContentPlaceHolder1$Grd_tot_detail$ctl11$hypapr','')"/>
    <hyperlink ref="F21" r:id="rId130" display="javascript:__doPostBack('ctl00$ContentPlaceHolder1$Grd_tot_detail$ctl11$hypmay','')"/>
    <hyperlink ref="G21" r:id="rId131" display="javascript:__doPostBack('ctl00$ContentPlaceHolder1$Grd_tot_detail$ctl11$hypjune','')"/>
    <hyperlink ref="H21" r:id="rId132" display="javascript:__doPostBack('ctl00$ContentPlaceHolder1$Grd_tot_detail$ctl11$hypjuly','')"/>
    <hyperlink ref="I21" r:id="rId133" display="javascript:__doPostBack('ctl00$ContentPlaceHolder1$Grd_tot_detail$ctl11$hypAugust','')"/>
    <hyperlink ref="J21" r:id="rId134" display="javascript:__doPostBack('ctl00$ContentPlaceHolder1$Grd_tot_detail$ctl11$hypSeptember','')"/>
    <hyperlink ref="K21" r:id="rId135" display="javascript:__doPostBack('ctl00$ContentPlaceHolder1$Grd_tot_detail$ctl11$hypOcteber','')"/>
    <hyperlink ref="L21" r:id="rId136" display="javascript:__doPostBack('ctl00$ContentPlaceHolder1$Grd_tot_detail$ctl11$hypNovember','')"/>
    <hyperlink ref="M21" r:id="rId137" display="javascript:__doPostBack('ctl00$ContentPlaceHolder1$Grd_tot_detail$ctl11$hypDecember','')"/>
    <hyperlink ref="N21" r:id="rId138" display="javascript:__doPostBack('ctl00$ContentPlaceHolder1$Grd_tot_detail$ctl11$hypJanuary','')"/>
    <hyperlink ref="O21" r:id="rId139" display="javascript:__doPostBack('ctl00$ContentPlaceHolder1$Grd_tot_detail$ctl11$hypFeb','')"/>
    <hyperlink ref="P21" r:id="rId140" display="javascript:__doPostBack('ctl00$ContentPlaceHolder1$Grd_tot_detail$ctl11$hypMarch','')"/>
    <hyperlink ref="C22" r:id="rId141" display="javascript:__doPostBack('ctl00$ContentPlaceHolder1$Grd_tot_detail$ctl12$lbtnttlsch','')"/>
    <hyperlink ref="D22" r:id="rId142" display="javascript:__doPostBack('ctl00$ContentPlaceHolder1$Grd_tot_detail$ctl12$lbtnfreezsch','')"/>
    <hyperlink ref="E22" r:id="rId143" display="javascript:__doPostBack('ctl00$ContentPlaceHolder1$Grd_tot_detail$ctl12$hypapr','')"/>
    <hyperlink ref="F22" r:id="rId144" display="javascript:__doPostBack('ctl00$ContentPlaceHolder1$Grd_tot_detail$ctl12$hypmay','')"/>
    <hyperlink ref="G22" r:id="rId145" display="javascript:__doPostBack('ctl00$ContentPlaceHolder1$Grd_tot_detail$ctl12$hypjune','')"/>
    <hyperlink ref="H22" r:id="rId146" display="javascript:__doPostBack('ctl00$ContentPlaceHolder1$Grd_tot_detail$ctl12$hypjuly','')"/>
    <hyperlink ref="I22" r:id="rId147" display="javascript:__doPostBack('ctl00$ContentPlaceHolder1$Grd_tot_detail$ctl12$hypAugust','')"/>
    <hyperlink ref="J22" r:id="rId148" display="javascript:__doPostBack('ctl00$ContentPlaceHolder1$Grd_tot_detail$ctl12$hypSeptember','')"/>
    <hyperlink ref="K22" r:id="rId149" display="javascript:__doPostBack('ctl00$ContentPlaceHolder1$Grd_tot_detail$ctl12$hypOcteber','')"/>
    <hyperlink ref="L22" r:id="rId150" display="javascript:__doPostBack('ctl00$ContentPlaceHolder1$Grd_tot_detail$ctl12$hypNovember','')"/>
    <hyperlink ref="M22" r:id="rId151" display="javascript:__doPostBack('ctl00$ContentPlaceHolder1$Grd_tot_detail$ctl12$hypDecember','')"/>
    <hyperlink ref="N22" r:id="rId152" display="javascript:__doPostBack('ctl00$ContentPlaceHolder1$Grd_tot_detail$ctl12$hypJanuary','')"/>
    <hyperlink ref="O22" r:id="rId153" display="javascript:__doPostBack('ctl00$ContentPlaceHolder1$Grd_tot_detail$ctl12$hypFeb','')"/>
    <hyperlink ref="P22" r:id="rId154" display="javascript:__doPostBack('ctl00$ContentPlaceHolder1$Grd_tot_detail$ctl12$hypMarch','')"/>
    <hyperlink ref="C23" r:id="rId155" display="javascript:__doPostBack('ctl00$ContentPlaceHolder1$Grd_tot_detail$ctl13$lbtnttlsch','')"/>
    <hyperlink ref="D23" r:id="rId156" display="javascript:__doPostBack('ctl00$ContentPlaceHolder1$Grd_tot_detail$ctl13$lbtnfreezsch','')"/>
    <hyperlink ref="E23" r:id="rId157" display="javascript:__doPostBack('ctl00$ContentPlaceHolder1$Grd_tot_detail$ctl13$hypapr','')"/>
    <hyperlink ref="F23" r:id="rId158" display="javascript:__doPostBack('ctl00$ContentPlaceHolder1$Grd_tot_detail$ctl13$hypmay','')"/>
    <hyperlink ref="G23" r:id="rId159" display="javascript:__doPostBack('ctl00$ContentPlaceHolder1$Grd_tot_detail$ctl13$hypjune','')"/>
    <hyperlink ref="H23" r:id="rId160" display="javascript:__doPostBack('ctl00$ContentPlaceHolder1$Grd_tot_detail$ctl13$hypjuly','')"/>
    <hyperlink ref="I23" r:id="rId161" display="javascript:__doPostBack('ctl00$ContentPlaceHolder1$Grd_tot_detail$ctl13$hypAugust','')"/>
    <hyperlink ref="J23" r:id="rId162" display="javascript:__doPostBack('ctl00$ContentPlaceHolder1$Grd_tot_detail$ctl13$hypSeptember','')"/>
    <hyperlink ref="K23" r:id="rId163" display="javascript:__doPostBack('ctl00$ContentPlaceHolder1$Grd_tot_detail$ctl13$hypOcteber','')"/>
    <hyperlink ref="L23" r:id="rId164" display="javascript:__doPostBack('ctl00$ContentPlaceHolder1$Grd_tot_detail$ctl13$hypNovember','')"/>
    <hyperlink ref="M23" r:id="rId165" display="javascript:__doPostBack('ctl00$ContentPlaceHolder1$Grd_tot_detail$ctl13$hypDecember','')"/>
    <hyperlink ref="N23" r:id="rId166" display="javascript:__doPostBack('ctl00$ContentPlaceHolder1$Grd_tot_detail$ctl13$hypJanuary','')"/>
    <hyperlink ref="O23" r:id="rId167" display="javascript:__doPostBack('ctl00$ContentPlaceHolder1$Grd_tot_detail$ctl13$hypFeb','')"/>
    <hyperlink ref="C24" r:id="rId168" display="javascript:__doPostBack('ctl00$ContentPlaceHolder1$Grd_tot_detail$ctl14$lbtnttlsch','')"/>
    <hyperlink ref="D24" r:id="rId169" display="javascript:__doPostBack('ctl00$ContentPlaceHolder1$Grd_tot_detail$ctl14$lbtnfreezsch','')"/>
    <hyperlink ref="E24" r:id="rId170" display="javascript:__doPostBack('ctl00$ContentPlaceHolder1$Grd_tot_detail$ctl14$hypapr','')"/>
    <hyperlink ref="F24" r:id="rId171" display="javascript:__doPostBack('ctl00$ContentPlaceHolder1$Grd_tot_detail$ctl14$hypmay','')"/>
    <hyperlink ref="G24" r:id="rId172" display="javascript:__doPostBack('ctl00$ContentPlaceHolder1$Grd_tot_detail$ctl14$hypjune','')"/>
    <hyperlink ref="H24" r:id="rId173" display="javascript:__doPostBack('ctl00$ContentPlaceHolder1$Grd_tot_detail$ctl14$hypjuly','')"/>
    <hyperlink ref="I24" r:id="rId174" display="javascript:__doPostBack('ctl00$ContentPlaceHolder1$Grd_tot_detail$ctl14$hypAugust','')"/>
    <hyperlink ref="J24" r:id="rId175" display="javascript:__doPostBack('ctl00$ContentPlaceHolder1$Grd_tot_detail$ctl14$hypSeptember','')"/>
    <hyperlink ref="K24" r:id="rId176" display="javascript:__doPostBack('ctl00$ContentPlaceHolder1$Grd_tot_detail$ctl14$hypOcteber','')"/>
    <hyperlink ref="L24" r:id="rId177" display="javascript:__doPostBack('ctl00$ContentPlaceHolder1$Grd_tot_detail$ctl14$hypNovember','')"/>
    <hyperlink ref="M24" r:id="rId178" display="javascript:__doPostBack('ctl00$ContentPlaceHolder1$Grd_tot_detail$ctl14$hypDecember','')"/>
    <hyperlink ref="N24" r:id="rId179" display="javascript:__doPostBack('ctl00$ContentPlaceHolder1$Grd_tot_detail$ctl14$hypJanuary','')"/>
    <hyperlink ref="O24" r:id="rId180" display="javascript:__doPostBack('ctl00$ContentPlaceHolder1$Grd_tot_detail$ctl14$hypFeb','')"/>
    <hyperlink ref="P24" r:id="rId181" display="javascript:__doPostBack('ctl00$ContentPlaceHolder1$Grd_tot_detail$ctl14$hypMarch','')"/>
    <hyperlink ref="C25" r:id="rId182" display="javascript:__doPostBack('ctl00$ContentPlaceHolder1$Grd_tot_detail$ctl15$lbtnttlsch','')"/>
    <hyperlink ref="D25" r:id="rId183" display="javascript:__doPostBack('ctl00$ContentPlaceHolder1$Grd_tot_detail$ctl15$lbtnfreezsch','')"/>
    <hyperlink ref="E25" r:id="rId184" display="javascript:__doPostBack('ctl00$ContentPlaceHolder1$Grd_tot_detail$ctl15$hypapr','')"/>
    <hyperlink ref="F25" r:id="rId185" display="javascript:__doPostBack('ctl00$ContentPlaceHolder1$Grd_tot_detail$ctl15$hypmay','')"/>
    <hyperlink ref="G25" r:id="rId186" display="javascript:__doPostBack('ctl00$ContentPlaceHolder1$Grd_tot_detail$ctl15$hypjune','')"/>
    <hyperlink ref="H25" r:id="rId187" display="javascript:__doPostBack('ctl00$ContentPlaceHolder1$Grd_tot_detail$ctl15$hypjuly','')"/>
    <hyperlink ref="I25" r:id="rId188" display="javascript:__doPostBack('ctl00$ContentPlaceHolder1$Grd_tot_detail$ctl15$hypAugust','')"/>
    <hyperlink ref="J25" r:id="rId189" display="javascript:__doPostBack('ctl00$ContentPlaceHolder1$Grd_tot_detail$ctl15$hypSeptember','')"/>
    <hyperlink ref="K25" r:id="rId190" display="javascript:__doPostBack('ctl00$ContentPlaceHolder1$Grd_tot_detail$ctl15$hypOcteber','')"/>
    <hyperlink ref="L25" r:id="rId191" display="javascript:__doPostBack('ctl00$ContentPlaceHolder1$Grd_tot_detail$ctl15$hypNovember','')"/>
    <hyperlink ref="M25" r:id="rId192" display="javascript:__doPostBack('ctl00$ContentPlaceHolder1$Grd_tot_detail$ctl15$hypDecember','')"/>
    <hyperlink ref="N25" r:id="rId193" display="javascript:__doPostBack('ctl00$ContentPlaceHolder1$Grd_tot_detail$ctl15$hypJanuary','')"/>
    <hyperlink ref="O25" r:id="rId194" display="javascript:__doPostBack('ctl00$ContentPlaceHolder1$Grd_tot_detail$ctl15$hypFeb','')"/>
    <hyperlink ref="P25" r:id="rId195" display="javascript:__doPostBack('ctl00$ContentPlaceHolder1$Grd_tot_detail$ctl15$hypMarch','')"/>
    <hyperlink ref="C26" r:id="rId196" display="javascript:__doPostBack('ctl00$ContentPlaceHolder1$Grd_tot_detail$ctl16$lbtnttlsch','')"/>
    <hyperlink ref="D26" r:id="rId197" display="javascript:__doPostBack('ctl00$ContentPlaceHolder1$Grd_tot_detail$ctl16$lbtnfreezsch','')"/>
    <hyperlink ref="E26" r:id="rId198" display="javascript:__doPostBack('ctl00$ContentPlaceHolder1$Grd_tot_detail$ctl16$hypapr','')"/>
    <hyperlink ref="F26" r:id="rId199" display="javascript:__doPostBack('ctl00$ContentPlaceHolder1$Grd_tot_detail$ctl16$hypmay','')"/>
    <hyperlink ref="G26" r:id="rId200" display="javascript:__doPostBack('ctl00$ContentPlaceHolder1$Grd_tot_detail$ctl16$hypjune','')"/>
    <hyperlink ref="H26" r:id="rId201" display="javascript:__doPostBack('ctl00$ContentPlaceHolder1$Grd_tot_detail$ctl16$hypjuly','')"/>
    <hyperlink ref="I26" r:id="rId202" display="javascript:__doPostBack('ctl00$ContentPlaceHolder1$Grd_tot_detail$ctl16$hypAugust','')"/>
    <hyperlink ref="J26" r:id="rId203" display="javascript:__doPostBack('ctl00$ContentPlaceHolder1$Grd_tot_detail$ctl16$hypSeptember','')"/>
    <hyperlink ref="K26" r:id="rId204" display="javascript:__doPostBack('ctl00$ContentPlaceHolder1$Grd_tot_detail$ctl16$hypOcteber','')"/>
    <hyperlink ref="L26" r:id="rId205" display="javascript:__doPostBack('ctl00$ContentPlaceHolder1$Grd_tot_detail$ctl16$hypNovember','')"/>
    <hyperlink ref="M26" r:id="rId206" display="javascript:__doPostBack('ctl00$ContentPlaceHolder1$Grd_tot_detail$ctl16$hypDecember','')"/>
    <hyperlink ref="N26" r:id="rId207" display="javascript:__doPostBack('ctl00$ContentPlaceHolder1$Grd_tot_detail$ctl16$hypJanuary','')"/>
    <hyperlink ref="O26" r:id="rId208" display="javascript:__doPostBack('ctl00$ContentPlaceHolder1$Grd_tot_detail$ctl16$hypFeb','')"/>
    <hyperlink ref="P26" r:id="rId209" display="javascript:__doPostBack('ctl00$ContentPlaceHolder1$Grd_tot_detail$ctl16$hypMarch','')"/>
    <hyperlink ref="C27" r:id="rId210" display="javascript:__doPostBack('ctl00$ContentPlaceHolder1$Grd_tot_detail$ctl17$lbtnttlsch','')"/>
    <hyperlink ref="D27" r:id="rId211" display="javascript:__doPostBack('ctl00$ContentPlaceHolder1$Grd_tot_detail$ctl17$lbtnfreezsch','')"/>
    <hyperlink ref="E27" r:id="rId212" display="javascript:__doPostBack('ctl00$ContentPlaceHolder1$Grd_tot_detail$ctl17$hypapr','')"/>
    <hyperlink ref="F27" r:id="rId213" display="javascript:__doPostBack('ctl00$ContentPlaceHolder1$Grd_tot_detail$ctl17$hypmay','')"/>
    <hyperlink ref="G27" r:id="rId214" display="javascript:__doPostBack('ctl00$ContentPlaceHolder1$Grd_tot_detail$ctl17$hypjune','')"/>
    <hyperlink ref="H27" r:id="rId215" display="javascript:__doPostBack('ctl00$ContentPlaceHolder1$Grd_tot_detail$ctl17$hypjuly','')"/>
    <hyperlink ref="I27" r:id="rId216" display="javascript:__doPostBack('ctl00$ContentPlaceHolder1$Grd_tot_detail$ctl17$hypAugust','')"/>
    <hyperlink ref="J27" r:id="rId217" display="javascript:__doPostBack('ctl00$ContentPlaceHolder1$Grd_tot_detail$ctl17$hypSeptember','')"/>
    <hyperlink ref="K27" r:id="rId218" display="javascript:__doPostBack('ctl00$ContentPlaceHolder1$Grd_tot_detail$ctl17$hypOcteber','')"/>
    <hyperlink ref="L27" r:id="rId219" display="javascript:__doPostBack('ctl00$ContentPlaceHolder1$Grd_tot_detail$ctl17$hypNovember','')"/>
    <hyperlink ref="M27" r:id="rId220" display="javascript:__doPostBack('ctl00$ContentPlaceHolder1$Grd_tot_detail$ctl17$hypDecember','')"/>
    <hyperlink ref="N27" r:id="rId221" display="javascript:__doPostBack('ctl00$ContentPlaceHolder1$Grd_tot_detail$ctl17$hypJanuary','')"/>
    <hyperlink ref="O27" r:id="rId222" display="javascript:__doPostBack('ctl00$ContentPlaceHolder1$Grd_tot_detail$ctl17$hypFeb','')"/>
    <hyperlink ref="P27" r:id="rId223" display="javascript:__doPostBack('ctl00$ContentPlaceHolder1$Grd_tot_detail$ctl17$hypMarch','')"/>
    <hyperlink ref="C28" r:id="rId224" display="javascript:__doPostBack('ctl00$ContentPlaceHolder1$Grd_tot_detail$ctl18$lbtnttlsch','')"/>
    <hyperlink ref="D28" r:id="rId225" display="javascript:__doPostBack('ctl00$ContentPlaceHolder1$Grd_tot_detail$ctl18$lbtnfreezsch','')"/>
    <hyperlink ref="E28" r:id="rId226" display="javascript:__doPostBack('ctl00$ContentPlaceHolder1$Grd_tot_detail$ctl18$hypapr','')"/>
    <hyperlink ref="F28" r:id="rId227" display="javascript:__doPostBack('ctl00$ContentPlaceHolder1$Grd_tot_detail$ctl18$hypmay','')"/>
    <hyperlink ref="G28" r:id="rId228" display="javascript:__doPostBack('ctl00$ContentPlaceHolder1$Grd_tot_detail$ctl18$hypjune','')"/>
    <hyperlink ref="H28" r:id="rId229" display="javascript:__doPostBack('ctl00$ContentPlaceHolder1$Grd_tot_detail$ctl18$hypjuly','')"/>
    <hyperlink ref="I28" r:id="rId230" display="javascript:__doPostBack('ctl00$ContentPlaceHolder1$Grd_tot_detail$ctl18$hypAugust','')"/>
    <hyperlink ref="J28" r:id="rId231" display="javascript:__doPostBack('ctl00$ContentPlaceHolder1$Grd_tot_detail$ctl18$hypSeptember','')"/>
    <hyperlink ref="K28" r:id="rId232" display="javascript:__doPostBack('ctl00$ContentPlaceHolder1$Grd_tot_detail$ctl18$hypOcteber','')"/>
    <hyperlink ref="L28" r:id="rId233" display="javascript:__doPostBack('ctl00$ContentPlaceHolder1$Grd_tot_detail$ctl18$hypNovember','')"/>
    <hyperlink ref="M28" r:id="rId234" display="javascript:__doPostBack('ctl00$ContentPlaceHolder1$Grd_tot_detail$ctl18$hypDecember','')"/>
    <hyperlink ref="N28" r:id="rId235" display="javascript:__doPostBack('ctl00$ContentPlaceHolder1$Grd_tot_detail$ctl18$hypJanuary','')"/>
    <hyperlink ref="O28" r:id="rId236" display="javascript:__doPostBack('ctl00$ContentPlaceHolder1$Grd_tot_detail$ctl18$hypFeb','')"/>
    <hyperlink ref="P28" r:id="rId237" display="javascript:__doPostBack('ctl00$ContentPlaceHolder1$Grd_tot_detail$ctl18$hypMarch','')"/>
    <hyperlink ref="C29" r:id="rId238" display="javascript:__doPostBack('ctl00$ContentPlaceHolder1$Grd_tot_detail$ctl19$lbtnttlsch','')"/>
    <hyperlink ref="D29" r:id="rId239" display="javascript:__doPostBack('ctl00$ContentPlaceHolder1$Grd_tot_detail$ctl19$lbtnfreezsch','')"/>
    <hyperlink ref="E29" r:id="rId240" display="javascript:__doPostBack('ctl00$ContentPlaceHolder1$Grd_tot_detail$ctl19$hypapr','')"/>
    <hyperlink ref="F29" r:id="rId241" display="javascript:__doPostBack('ctl00$ContentPlaceHolder1$Grd_tot_detail$ctl19$hypmay','')"/>
    <hyperlink ref="G29" r:id="rId242" display="javascript:__doPostBack('ctl00$ContentPlaceHolder1$Grd_tot_detail$ctl19$hypjune','')"/>
    <hyperlink ref="H29" r:id="rId243" display="javascript:__doPostBack('ctl00$ContentPlaceHolder1$Grd_tot_detail$ctl19$hypjuly','')"/>
    <hyperlink ref="I29" r:id="rId244" display="javascript:__doPostBack('ctl00$ContentPlaceHolder1$Grd_tot_detail$ctl19$hypAugust','')"/>
    <hyperlink ref="J29" r:id="rId245" display="javascript:__doPostBack('ctl00$ContentPlaceHolder1$Grd_tot_detail$ctl19$hypSeptember','')"/>
    <hyperlink ref="K29" r:id="rId246" display="javascript:__doPostBack('ctl00$ContentPlaceHolder1$Grd_tot_detail$ctl19$hypOcteber','')"/>
    <hyperlink ref="L29" r:id="rId247" display="javascript:__doPostBack('ctl00$ContentPlaceHolder1$Grd_tot_detail$ctl19$hypNovember','')"/>
    <hyperlink ref="M29" r:id="rId248" display="javascript:__doPostBack('ctl00$ContentPlaceHolder1$Grd_tot_detail$ctl19$hypDecember','')"/>
    <hyperlink ref="N29" r:id="rId249" display="javascript:__doPostBack('ctl00$ContentPlaceHolder1$Grd_tot_detail$ctl19$hypJanuary','')"/>
    <hyperlink ref="O29" r:id="rId250" display="javascript:__doPostBack('ctl00$ContentPlaceHolder1$Grd_tot_detail$ctl19$hypFeb','')"/>
    <hyperlink ref="P29" r:id="rId251" display="javascript:__doPostBack('ctl00$ContentPlaceHolder1$Grd_tot_detail$ctl19$hypMarch','')"/>
    <hyperlink ref="C30" r:id="rId252" display="javascript:__doPostBack('ctl00$ContentPlaceHolder1$Grd_tot_detail$ctl20$lbtnttlsch','')"/>
    <hyperlink ref="D30" r:id="rId253" display="javascript:__doPostBack('ctl00$ContentPlaceHolder1$Grd_tot_detail$ctl20$lbtnfreezsch','')"/>
    <hyperlink ref="E30" r:id="rId254" display="javascript:__doPostBack('ctl00$ContentPlaceHolder1$Grd_tot_detail$ctl20$hypapr','')"/>
    <hyperlink ref="F30" r:id="rId255" display="javascript:__doPostBack('ctl00$ContentPlaceHolder1$Grd_tot_detail$ctl20$hypmay','')"/>
    <hyperlink ref="G30" r:id="rId256" display="javascript:__doPostBack('ctl00$ContentPlaceHolder1$Grd_tot_detail$ctl20$hypjune','')"/>
    <hyperlink ref="H30" r:id="rId257" display="javascript:__doPostBack('ctl00$ContentPlaceHolder1$Grd_tot_detail$ctl20$hypjuly','')"/>
    <hyperlink ref="I30" r:id="rId258" display="javascript:__doPostBack('ctl00$ContentPlaceHolder1$Grd_tot_detail$ctl20$hypAugust','')"/>
    <hyperlink ref="J30" r:id="rId259" display="javascript:__doPostBack('ctl00$ContentPlaceHolder1$Grd_tot_detail$ctl20$hypSeptember','')"/>
    <hyperlink ref="K30" r:id="rId260" display="javascript:__doPostBack('ctl00$ContentPlaceHolder1$Grd_tot_detail$ctl20$hypOcteber','')"/>
    <hyperlink ref="L30" r:id="rId261" display="javascript:__doPostBack('ctl00$ContentPlaceHolder1$Grd_tot_detail$ctl20$hypNovember','')"/>
    <hyperlink ref="M30" r:id="rId262" display="javascript:__doPostBack('ctl00$ContentPlaceHolder1$Grd_tot_detail$ctl20$hypDecember','')"/>
    <hyperlink ref="N30" r:id="rId263" display="javascript:__doPostBack('ctl00$ContentPlaceHolder1$Grd_tot_detail$ctl20$hypJanuary','')"/>
    <hyperlink ref="O30" r:id="rId264" display="javascript:__doPostBack('ctl00$ContentPlaceHolder1$Grd_tot_detail$ctl20$hypFeb','')"/>
    <hyperlink ref="P30" r:id="rId265" display="javascript:__doPostBack('ctl00$ContentPlaceHolder1$Grd_tot_detail$ctl20$hypMarch','')"/>
    <hyperlink ref="C31" r:id="rId266" display="javascript:__doPostBack('ctl00$ContentPlaceHolder1$Grd_tot_detail$ctl21$lbtnttlsch','')"/>
    <hyperlink ref="D31" r:id="rId267" display="javascript:__doPostBack('ctl00$ContentPlaceHolder1$Grd_tot_detail$ctl21$lbtnfreezsch','')"/>
    <hyperlink ref="E31" r:id="rId268" display="javascript:__doPostBack('ctl00$ContentPlaceHolder1$Grd_tot_detail$ctl21$hypapr','')"/>
    <hyperlink ref="F31" r:id="rId269" display="javascript:__doPostBack('ctl00$ContentPlaceHolder1$Grd_tot_detail$ctl21$hypmay','')"/>
    <hyperlink ref="G31" r:id="rId270" display="javascript:__doPostBack('ctl00$ContentPlaceHolder1$Grd_tot_detail$ctl21$hypjune','')"/>
    <hyperlink ref="H31" r:id="rId271" display="javascript:__doPostBack('ctl00$ContentPlaceHolder1$Grd_tot_detail$ctl21$hypjuly','')"/>
    <hyperlink ref="I31" r:id="rId272" display="javascript:__doPostBack('ctl00$ContentPlaceHolder1$Grd_tot_detail$ctl21$hypAugust','')"/>
    <hyperlink ref="J31" r:id="rId273" display="javascript:__doPostBack('ctl00$ContentPlaceHolder1$Grd_tot_detail$ctl21$hypSeptember','')"/>
    <hyperlink ref="K31" r:id="rId274" display="javascript:__doPostBack('ctl00$ContentPlaceHolder1$Grd_tot_detail$ctl21$hypOcteber','')"/>
    <hyperlink ref="L31" r:id="rId275" display="javascript:__doPostBack('ctl00$ContentPlaceHolder1$Grd_tot_detail$ctl21$hypNovember','')"/>
    <hyperlink ref="M31" r:id="rId276" display="javascript:__doPostBack('ctl00$ContentPlaceHolder1$Grd_tot_detail$ctl21$hypDecember','')"/>
    <hyperlink ref="N31" r:id="rId277" display="javascript:__doPostBack('ctl00$ContentPlaceHolder1$Grd_tot_detail$ctl21$hypJanuary','')"/>
    <hyperlink ref="O31" r:id="rId278" display="javascript:__doPostBack('ctl00$ContentPlaceHolder1$Grd_tot_detail$ctl21$hypFeb','')"/>
    <hyperlink ref="C32" r:id="rId279" display="javascript:__doPostBack('ctl00$ContentPlaceHolder1$Grd_tot_detail$ctl22$lbtnttlsch','')"/>
    <hyperlink ref="D32" r:id="rId280" display="javascript:__doPostBack('ctl00$ContentPlaceHolder1$Grd_tot_detail$ctl22$lbtnfreezsch','')"/>
    <hyperlink ref="E32" r:id="rId281" display="javascript:__doPostBack('ctl00$ContentPlaceHolder1$Grd_tot_detail$ctl22$hypapr','')"/>
    <hyperlink ref="F32" r:id="rId282" display="javascript:__doPostBack('ctl00$ContentPlaceHolder1$Grd_tot_detail$ctl22$hypmay','')"/>
    <hyperlink ref="G32" r:id="rId283" display="javascript:__doPostBack('ctl00$ContentPlaceHolder1$Grd_tot_detail$ctl22$hypjune','')"/>
    <hyperlink ref="H32" r:id="rId284" display="javascript:__doPostBack('ctl00$ContentPlaceHolder1$Grd_tot_detail$ctl22$hypjuly','')"/>
    <hyperlink ref="I32" r:id="rId285" display="javascript:__doPostBack('ctl00$ContentPlaceHolder1$Grd_tot_detail$ctl22$hypAugust','')"/>
    <hyperlink ref="J32" r:id="rId286" display="javascript:__doPostBack('ctl00$ContentPlaceHolder1$Grd_tot_detail$ctl22$hypSeptember','')"/>
    <hyperlink ref="K32" r:id="rId287" display="javascript:__doPostBack('ctl00$ContentPlaceHolder1$Grd_tot_detail$ctl22$hypOcteber','')"/>
    <hyperlink ref="L32" r:id="rId288" display="javascript:__doPostBack('ctl00$ContentPlaceHolder1$Grd_tot_detail$ctl22$hypNovember','')"/>
    <hyperlink ref="M32" r:id="rId289" display="javascript:__doPostBack('ctl00$ContentPlaceHolder1$Grd_tot_detail$ctl22$hypDecember','')"/>
    <hyperlink ref="N32" r:id="rId290" display="javascript:__doPostBack('ctl00$ContentPlaceHolder1$Grd_tot_detail$ctl22$hypJanuary','')"/>
    <hyperlink ref="O32" r:id="rId291" display="javascript:__doPostBack('ctl00$ContentPlaceHolder1$Grd_tot_detail$ctl22$hypFeb','')"/>
    <hyperlink ref="C33" r:id="rId292" display="javascript:__doPostBack('ctl00$ContentPlaceHolder1$Grd_tot_detail$ctl23$lbtnttlsch','')"/>
    <hyperlink ref="D33" r:id="rId293" display="javascript:__doPostBack('ctl00$ContentPlaceHolder1$Grd_tot_detail$ctl23$lbtnfreezsch','')"/>
    <hyperlink ref="E33" r:id="rId294" display="javascript:__doPostBack('ctl00$ContentPlaceHolder1$Grd_tot_detail$ctl23$hypapr','')"/>
    <hyperlink ref="F33" r:id="rId295" display="javascript:__doPostBack('ctl00$ContentPlaceHolder1$Grd_tot_detail$ctl23$hypmay','')"/>
    <hyperlink ref="G33" r:id="rId296" display="javascript:__doPostBack('ctl00$ContentPlaceHolder1$Grd_tot_detail$ctl23$hypjune','')"/>
    <hyperlink ref="H33" r:id="rId297" display="javascript:__doPostBack('ctl00$ContentPlaceHolder1$Grd_tot_detail$ctl23$hypjuly','')"/>
    <hyperlink ref="I33" r:id="rId298" display="javascript:__doPostBack('ctl00$ContentPlaceHolder1$Grd_tot_detail$ctl23$hypAugust','')"/>
    <hyperlink ref="J33" r:id="rId299" display="javascript:__doPostBack('ctl00$ContentPlaceHolder1$Grd_tot_detail$ctl23$hypSeptember','')"/>
    <hyperlink ref="K33" r:id="rId300" display="javascript:__doPostBack('ctl00$ContentPlaceHolder1$Grd_tot_detail$ctl23$hypOcteber','')"/>
    <hyperlink ref="L33" r:id="rId301" display="javascript:__doPostBack('ctl00$ContentPlaceHolder1$Grd_tot_detail$ctl23$hypNovember','')"/>
    <hyperlink ref="M33" r:id="rId302" display="javascript:__doPostBack('ctl00$ContentPlaceHolder1$Grd_tot_detail$ctl23$hypDecember','')"/>
    <hyperlink ref="N33" r:id="rId303" display="javascript:__doPostBack('ctl00$ContentPlaceHolder1$Grd_tot_detail$ctl23$hypJanuary','')"/>
    <hyperlink ref="O33" r:id="rId304" display="javascript:__doPostBack('ctl00$ContentPlaceHolder1$Grd_tot_detail$ctl23$hypFeb','')"/>
    <hyperlink ref="P33" r:id="rId305" display="javascript:__doPostBack('ctl00$ContentPlaceHolder1$Grd_tot_detail$ctl23$hypMarch','')"/>
    <hyperlink ref="C34" r:id="rId306" display="javascript:__doPostBack('ctl00$ContentPlaceHolder1$Grd_tot_detail$ctl24$lbtnttlsch','')"/>
    <hyperlink ref="D34" r:id="rId307" display="javascript:__doPostBack('ctl00$ContentPlaceHolder1$Grd_tot_detail$ctl24$lbtnfreezsch','')"/>
    <hyperlink ref="E34" r:id="rId308" display="javascript:__doPostBack('ctl00$ContentPlaceHolder1$Grd_tot_detail$ctl24$hypapr','')"/>
    <hyperlink ref="F34" r:id="rId309" display="javascript:__doPostBack('ctl00$ContentPlaceHolder1$Grd_tot_detail$ctl24$hypmay','')"/>
    <hyperlink ref="G34" r:id="rId310" display="javascript:__doPostBack('ctl00$ContentPlaceHolder1$Grd_tot_detail$ctl24$hypjune','')"/>
    <hyperlink ref="H34" r:id="rId311" display="javascript:__doPostBack('ctl00$ContentPlaceHolder1$Grd_tot_detail$ctl24$hypjuly','')"/>
    <hyperlink ref="I34" r:id="rId312" display="javascript:__doPostBack('ctl00$ContentPlaceHolder1$Grd_tot_detail$ctl24$hypAugust','')"/>
    <hyperlink ref="J34" r:id="rId313" display="javascript:__doPostBack('ctl00$ContentPlaceHolder1$Grd_tot_detail$ctl24$hypSeptember','')"/>
    <hyperlink ref="K34" r:id="rId314" display="javascript:__doPostBack('ctl00$ContentPlaceHolder1$Grd_tot_detail$ctl24$hypOcteber','')"/>
    <hyperlink ref="L34" r:id="rId315" display="javascript:__doPostBack('ctl00$ContentPlaceHolder1$Grd_tot_detail$ctl24$hypNovember','')"/>
    <hyperlink ref="M34" r:id="rId316" display="javascript:__doPostBack('ctl00$ContentPlaceHolder1$Grd_tot_detail$ctl24$hypDecember','')"/>
    <hyperlink ref="N34" r:id="rId317" display="javascript:__doPostBack('ctl00$ContentPlaceHolder1$Grd_tot_detail$ctl24$hypJanuary','')"/>
    <hyperlink ref="O34" r:id="rId318" display="javascript:__doPostBack('ctl00$ContentPlaceHolder1$Grd_tot_detail$ctl24$hypFeb','')"/>
    <hyperlink ref="P34" r:id="rId319" display="javascript:__doPostBack('ctl00$ContentPlaceHolder1$Grd_tot_detail$ctl24$hypMarch','')"/>
    <hyperlink ref="C35" r:id="rId320" display="javascript:__doPostBack('ctl00$ContentPlaceHolder1$Grd_tot_detail$ctl25$lbtnttlsch','')"/>
    <hyperlink ref="D35" r:id="rId321" display="javascript:__doPostBack('ctl00$ContentPlaceHolder1$Grd_tot_detail$ctl25$lbtnfreezsch','')"/>
    <hyperlink ref="E35" r:id="rId322" display="javascript:__doPostBack('ctl00$ContentPlaceHolder1$Grd_tot_detail$ctl25$hypapr','')"/>
    <hyperlink ref="F35" r:id="rId323" display="javascript:__doPostBack('ctl00$ContentPlaceHolder1$Grd_tot_detail$ctl25$hypmay','')"/>
    <hyperlink ref="G35" r:id="rId324" display="javascript:__doPostBack('ctl00$ContentPlaceHolder1$Grd_tot_detail$ctl25$hypjune','')"/>
    <hyperlink ref="H35" r:id="rId325" display="javascript:__doPostBack('ctl00$ContentPlaceHolder1$Grd_tot_detail$ctl25$hypjuly','')"/>
    <hyperlink ref="I35" r:id="rId326" display="javascript:__doPostBack('ctl00$ContentPlaceHolder1$Grd_tot_detail$ctl25$hypAugust','')"/>
    <hyperlink ref="J35" r:id="rId327" display="javascript:__doPostBack('ctl00$ContentPlaceHolder1$Grd_tot_detail$ctl25$hypSeptember','')"/>
    <hyperlink ref="K35" r:id="rId328" display="javascript:__doPostBack('ctl00$ContentPlaceHolder1$Grd_tot_detail$ctl25$hypOcteber','')"/>
    <hyperlink ref="L35" r:id="rId329" display="javascript:__doPostBack('ctl00$ContentPlaceHolder1$Grd_tot_detail$ctl25$hypNovember','')"/>
    <hyperlink ref="M35" r:id="rId330" display="javascript:__doPostBack('ctl00$ContentPlaceHolder1$Grd_tot_detail$ctl25$hypDecember','')"/>
    <hyperlink ref="N35" r:id="rId331" display="javascript:__doPostBack('ctl00$ContentPlaceHolder1$Grd_tot_detail$ctl25$hypJanuary','')"/>
    <hyperlink ref="O35" r:id="rId332" display="javascript:__doPostBack('ctl00$ContentPlaceHolder1$Grd_tot_detail$ctl25$hypFeb','')"/>
    <hyperlink ref="P35" r:id="rId333" display="javascript:__doPostBack('ctl00$ContentPlaceHolder1$Grd_tot_detail$ctl25$hypMarch','')"/>
    <hyperlink ref="C36" r:id="rId334" display="javascript:__doPostBack('ctl00$ContentPlaceHolder1$Grd_tot_detail$ctl26$lbtnttlsch','')"/>
    <hyperlink ref="D36" r:id="rId335" display="javascript:__doPostBack('ctl00$ContentPlaceHolder1$Grd_tot_detail$ctl26$lbtnfreezsch','')"/>
    <hyperlink ref="E36" r:id="rId336" display="javascript:__doPostBack('ctl00$ContentPlaceHolder1$Grd_tot_detail$ctl26$hypapr','')"/>
    <hyperlink ref="F36" r:id="rId337" display="javascript:__doPostBack('ctl00$ContentPlaceHolder1$Grd_tot_detail$ctl26$hypmay','')"/>
    <hyperlink ref="G36" r:id="rId338" display="javascript:__doPostBack('ctl00$ContentPlaceHolder1$Grd_tot_detail$ctl26$hypjune','')"/>
    <hyperlink ref="H36" r:id="rId339" display="javascript:__doPostBack('ctl00$ContentPlaceHolder1$Grd_tot_detail$ctl26$hypjuly','')"/>
    <hyperlink ref="I36" r:id="rId340" display="javascript:__doPostBack('ctl00$ContentPlaceHolder1$Grd_tot_detail$ctl26$hypAugust','')"/>
    <hyperlink ref="J36" r:id="rId341" display="javascript:__doPostBack('ctl00$ContentPlaceHolder1$Grd_tot_detail$ctl26$hypSeptember','')"/>
    <hyperlink ref="K36" r:id="rId342" display="javascript:__doPostBack('ctl00$ContentPlaceHolder1$Grd_tot_detail$ctl26$hypOcteber','')"/>
    <hyperlink ref="L36" r:id="rId343" display="javascript:__doPostBack('ctl00$ContentPlaceHolder1$Grd_tot_detail$ctl26$hypNovember','')"/>
    <hyperlink ref="M36" r:id="rId344" display="javascript:__doPostBack('ctl00$ContentPlaceHolder1$Grd_tot_detail$ctl26$hypDecember','')"/>
    <hyperlink ref="N36" r:id="rId345" display="javascript:__doPostBack('ctl00$ContentPlaceHolder1$Grd_tot_detail$ctl26$hypJanuary','')"/>
    <hyperlink ref="O36" r:id="rId346" display="javascript:__doPostBack('ctl00$ContentPlaceHolder1$Grd_tot_detail$ctl26$hypFeb','')"/>
    <hyperlink ref="P36" r:id="rId347" display="javascript:__doPostBack('ctl00$ContentPlaceHolder1$Grd_tot_detail$ctl26$hypMarch','')"/>
    <hyperlink ref="C37" r:id="rId348" display="javascript:__doPostBack('ctl00$ContentPlaceHolder1$Grd_tot_detail$ctl27$lbtnttlsch','')"/>
    <hyperlink ref="D37" r:id="rId349" display="javascript:__doPostBack('ctl00$ContentPlaceHolder1$Grd_tot_detail$ctl27$lbtnfreezsch','')"/>
    <hyperlink ref="E37" r:id="rId350" display="javascript:__doPostBack('ctl00$ContentPlaceHolder1$Grd_tot_detail$ctl27$hypapr','')"/>
    <hyperlink ref="F37" r:id="rId351" display="javascript:__doPostBack('ctl00$ContentPlaceHolder1$Grd_tot_detail$ctl27$hypmay','')"/>
    <hyperlink ref="G37" r:id="rId352" display="javascript:__doPostBack('ctl00$ContentPlaceHolder1$Grd_tot_detail$ctl27$hypjune','')"/>
    <hyperlink ref="H37" r:id="rId353" display="javascript:__doPostBack('ctl00$ContentPlaceHolder1$Grd_tot_detail$ctl27$hypjuly','')"/>
    <hyperlink ref="I37" r:id="rId354" display="javascript:__doPostBack('ctl00$ContentPlaceHolder1$Grd_tot_detail$ctl27$hypAugust','')"/>
    <hyperlink ref="J37" r:id="rId355" display="javascript:__doPostBack('ctl00$ContentPlaceHolder1$Grd_tot_detail$ctl27$hypSeptember','')"/>
    <hyperlink ref="K37" r:id="rId356" display="javascript:__doPostBack('ctl00$ContentPlaceHolder1$Grd_tot_detail$ctl27$hypOcteber','')"/>
    <hyperlink ref="L37" r:id="rId357" display="javascript:__doPostBack('ctl00$ContentPlaceHolder1$Grd_tot_detail$ctl27$hypNovember','')"/>
    <hyperlink ref="M37" r:id="rId358" display="javascript:__doPostBack('ctl00$ContentPlaceHolder1$Grd_tot_detail$ctl27$hypDecember','')"/>
    <hyperlink ref="N37" r:id="rId359" display="javascript:__doPostBack('ctl00$ContentPlaceHolder1$Grd_tot_detail$ctl27$hypJanuary','')"/>
    <hyperlink ref="O37" r:id="rId360" display="javascript:__doPostBack('ctl00$ContentPlaceHolder1$Grd_tot_detail$ctl27$hypFeb','')"/>
    <hyperlink ref="P37" r:id="rId361" display="javascript:__doPostBack('ctl00$ContentPlaceHolder1$Grd_tot_detail$ctl27$hypMarch','')"/>
    <hyperlink ref="C38" r:id="rId362" display="javascript:__doPostBack('ctl00$ContentPlaceHolder1$Grd_tot_detail$ctl28$lbtnttlsch','')"/>
    <hyperlink ref="D38" r:id="rId363" display="javascript:__doPostBack('ctl00$ContentPlaceHolder1$Grd_tot_detail$ctl28$lbtnfreezsch','')"/>
    <hyperlink ref="E38" r:id="rId364" display="javascript:__doPostBack('ctl00$ContentPlaceHolder1$Grd_tot_detail$ctl28$hypapr','')"/>
    <hyperlink ref="F38" r:id="rId365" display="javascript:__doPostBack('ctl00$ContentPlaceHolder1$Grd_tot_detail$ctl28$hypmay','')"/>
    <hyperlink ref="G38" r:id="rId366" display="javascript:__doPostBack('ctl00$ContentPlaceHolder1$Grd_tot_detail$ctl28$hypjune','')"/>
    <hyperlink ref="H38" r:id="rId367" display="javascript:__doPostBack('ctl00$ContentPlaceHolder1$Grd_tot_detail$ctl28$hypjuly','')"/>
    <hyperlink ref="I38" r:id="rId368" display="javascript:__doPostBack('ctl00$ContentPlaceHolder1$Grd_tot_detail$ctl28$hypAugust','')"/>
    <hyperlink ref="J38" r:id="rId369" display="javascript:__doPostBack('ctl00$ContentPlaceHolder1$Grd_tot_detail$ctl28$hypSeptember','')"/>
    <hyperlink ref="K38" r:id="rId370" display="javascript:__doPostBack('ctl00$ContentPlaceHolder1$Grd_tot_detail$ctl28$hypOcteber','')"/>
    <hyperlink ref="L38" r:id="rId371" display="javascript:__doPostBack('ctl00$ContentPlaceHolder1$Grd_tot_detail$ctl28$hypNovember','')"/>
    <hyperlink ref="M38" r:id="rId372" display="javascript:__doPostBack('ctl00$ContentPlaceHolder1$Grd_tot_detail$ctl28$hypDecember','')"/>
    <hyperlink ref="N38" r:id="rId373" display="javascript:__doPostBack('ctl00$ContentPlaceHolder1$Grd_tot_detail$ctl28$hypJanuary','')"/>
    <hyperlink ref="O38" r:id="rId374" display="javascript:__doPostBack('ctl00$ContentPlaceHolder1$Grd_tot_detail$ctl28$hypFeb','')"/>
    <hyperlink ref="P38" r:id="rId375" display="javascript:__doPostBack('ctl00$ContentPlaceHolder1$Grd_tot_detail$ctl28$hypMarch','')"/>
    <hyperlink ref="C39" r:id="rId376" display="javascript:__doPostBack('ctl00$ContentPlaceHolder1$Grd_tot_detail$ctl29$lbtnttlsch','')"/>
    <hyperlink ref="D39" r:id="rId377" display="javascript:__doPostBack('ctl00$ContentPlaceHolder1$Grd_tot_detail$ctl29$lbtnfreezsch','')"/>
    <hyperlink ref="E39" r:id="rId378" display="javascript:__doPostBack('ctl00$ContentPlaceHolder1$Grd_tot_detail$ctl29$hypapr','')"/>
    <hyperlink ref="F39" r:id="rId379" display="javascript:__doPostBack('ctl00$ContentPlaceHolder1$Grd_tot_detail$ctl29$hypmay','')"/>
    <hyperlink ref="G39" r:id="rId380" display="javascript:__doPostBack('ctl00$ContentPlaceHolder1$Grd_tot_detail$ctl29$hypjune','')"/>
    <hyperlink ref="H39" r:id="rId381" display="javascript:__doPostBack('ctl00$ContentPlaceHolder1$Grd_tot_detail$ctl29$hypjuly','')"/>
    <hyperlink ref="I39" r:id="rId382" display="javascript:__doPostBack('ctl00$ContentPlaceHolder1$Grd_tot_detail$ctl29$hypAugust','')"/>
    <hyperlink ref="J39" r:id="rId383" display="javascript:__doPostBack('ctl00$ContentPlaceHolder1$Grd_tot_detail$ctl29$hypSeptember','')"/>
    <hyperlink ref="K39" r:id="rId384" display="javascript:__doPostBack('ctl00$ContentPlaceHolder1$Grd_tot_detail$ctl29$hypOcteber','')"/>
    <hyperlink ref="L39" r:id="rId385" display="javascript:__doPostBack('ctl00$ContentPlaceHolder1$Grd_tot_detail$ctl29$hypNovember','')"/>
    <hyperlink ref="M39" r:id="rId386" display="javascript:__doPostBack('ctl00$ContentPlaceHolder1$Grd_tot_detail$ctl29$hypDecember','')"/>
    <hyperlink ref="N39" r:id="rId387" display="javascript:__doPostBack('ctl00$ContentPlaceHolder1$Grd_tot_detail$ctl29$hypJanuary','')"/>
    <hyperlink ref="O39" r:id="rId388" display="javascript:__doPostBack('ctl00$ContentPlaceHolder1$Grd_tot_detail$ctl29$hypFeb','')"/>
    <hyperlink ref="P39" r:id="rId389" display="javascript:__doPostBack('ctl00$ContentPlaceHolder1$Grd_tot_detail$ctl29$hypMarch','')"/>
    <hyperlink ref="C40" r:id="rId390" display="javascript:__doPostBack('ctl00$ContentPlaceHolder1$Grd_tot_detail$ctl30$lbtnttlsch','')"/>
    <hyperlink ref="D40" r:id="rId391" display="javascript:__doPostBack('ctl00$ContentPlaceHolder1$Grd_tot_detail$ctl30$lbtnfreezsch','')"/>
    <hyperlink ref="E40" r:id="rId392" display="javascript:__doPostBack('ctl00$ContentPlaceHolder1$Grd_tot_detail$ctl30$hypapr','')"/>
    <hyperlink ref="F40" r:id="rId393" display="javascript:__doPostBack('ctl00$ContentPlaceHolder1$Grd_tot_detail$ctl30$hypmay','')"/>
    <hyperlink ref="G40" r:id="rId394" display="javascript:__doPostBack('ctl00$ContentPlaceHolder1$Grd_tot_detail$ctl30$hypjune','')"/>
    <hyperlink ref="H40" r:id="rId395" display="javascript:__doPostBack('ctl00$ContentPlaceHolder1$Grd_tot_detail$ctl30$hypjuly','')"/>
    <hyperlink ref="I40" r:id="rId396" display="javascript:__doPostBack('ctl00$ContentPlaceHolder1$Grd_tot_detail$ctl30$hypAugust','')"/>
    <hyperlink ref="J40" r:id="rId397" display="javascript:__doPostBack('ctl00$ContentPlaceHolder1$Grd_tot_detail$ctl30$hypSeptember','')"/>
    <hyperlink ref="K40" r:id="rId398" display="javascript:__doPostBack('ctl00$ContentPlaceHolder1$Grd_tot_detail$ctl30$hypOcteber','')"/>
    <hyperlink ref="L40" r:id="rId399" display="javascript:__doPostBack('ctl00$ContentPlaceHolder1$Grd_tot_detail$ctl30$hypNovember','')"/>
    <hyperlink ref="M40" r:id="rId400" display="javascript:__doPostBack('ctl00$ContentPlaceHolder1$Grd_tot_detail$ctl30$hypDecember','')"/>
    <hyperlink ref="N40" r:id="rId401" display="javascript:__doPostBack('ctl00$ContentPlaceHolder1$Grd_tot_detail$ctl30$hypJanuary','')"/>
    <hyperlink ref="O40" r:id="rId402" display="javascript:__doPostBack('ctl00$ContentPlaceHolder1$Grd_tot_detail$ctl30$hypFeb','')"/>
    <hyperlink ref="P40" r:id="rId403" display="javascript:__doPostBack('ctl00$ContentPlaceHolder1$Grd_tot_detail$ctl30$hypMarch','')"/>
    <hyperlink ref="C41" r:id="rId404" display="javascript:__doPostBack('ctl00$ContentPlaceHolder1$Grd_tot_detail$ctl31$lbtnttlsch','')"/>
    <hyperlink ref="D41" r:id="rId405" display="javascript:__doPostBack('ctl00$ContentPlaceHolder1$Grd_tot_detail$ctl31$lbtnfreezsch','')"/>
    <hyperlink ref="E41" r:id="rId406" display="javascript:__doPostBack('ctl00$ContentPlaceHolder1$Grd_tot_detail$ctl31$hypapr','')"/>
    <hyperlink ref="F41" r:id="rId407" display="javascript:__doPostBack('ctl00$ContentPlaceHolder1$Grd_tot_detail$ctl31$hypmay','')"/>
    <hyperlink ref="G41" r:id="rId408" display="javascript:__doPostBack('ctl00$ContentPlaceHolder1$Grd_tot_detail$ctl31$hypjune','')"/>
    <hyperlink ref="H41" r:id="rId409" display="javascript:__doPostBack('ctl00$ContentPlaceHolder1$Grd_tot_detail$ctl31$hypjuly','')"/>
    <hyperlink ref="I41" r:id="rId410" display="javascript:__doPostBack('ctl00$ContentPlaceHolder1$Grd_tot_detail$ctl31$hypAugust','')"/>
    <hyperlink ref="J41" r:id="rId411" display="javascript:__doPostBack('ctl00$ContentPlaceHolder1$Grd_tot_detail$ctl31$hypSeptember','')"/>
    <hyperlink ref="K41" r:id="rId412" display="javascript:__doPostBack('ctl00$ContentPlaceHolder1$Grd_tot_detail$ctl31$hypOcteber','')"/>
    <hyperlink ref="L41" r:id="rId413" display="javascript:__doPostBack('ctl00$ContentPlaceHolder1$Grd_tot_detail$ctl31$hypNovember','')"/>
    <hyperlink ref="M41" r:id="rId414" display="javascript:__doPostBack('ctl00$ContentPlaceHolder1$Grd_tot_detail$ctl31$hypDecember','')"/>
    <hyperlink ref="N41" r:id="rId415" display="javascript:__doPostBack('ctl00$ContentPlaceHolder1$Grd_tot_detail$ctl31$hypJanuary','')"/>
    <hyperlink ref="O41" r:id="rId416" display="javascript:__doPostBack('ctl00$ContentPlaceHolder1$Grd_tot_detail$ctl31$hypFeb','')"/>
    <hyperlink ref="P41" r:id="rId417" display="javascript:__doPostBack('ctl00$ContentPlaceHolder1$Grd_tot_detail$ctl31$hypMarch','')"/>
    <hyperlink ref="C42" r:id="rId418" display="javascript:__doPostBack('ctl00$ContentPlaceHolder1$Grd_tot_detail$ctl32$lbtnttlsch','')"/>
    <hyperlink ref="D42" r:id="rId419" display="javascript:__doPostBack('ctl00$ContentPlaceHolder1$Grd_tot_detail$ctl32$lbtnfreezsch','')"/>
    <hyperlink ref="E42" r:id="rId420" display="javascript:__doPostBack('ctl00$ContentPlaceHolder1$Grd_tot_detail$ctl32$hypapr','')"/>
    <hyperlink ref="F42" r:id="rId421" display="javascript:__doPostBack('ctl00$ContentPlaceHolder1$Grd_tot_detail$ctl32$hypmay','')"/>
    <hyperlink ref="G42" r:id="rId422" display="javascript:__doPostBack('ctl00$ContentPlaceHolder1$Grd_tot_detail$ctl32$hypjune','')"/>
    <hyperlink ref="H42" r:id="rId423" display="javascript:__doPostBack('ctl00$ContentPlaceHolder1$Grd_tot_detail$ctl32$hypjuly','')"/>
    <hyperlink ref="I42" r:id="rId424" display="javascript:__doPostBack('ctl00$ContentPlaceHolder1$Grd_tot_detail$ctl32$hypAugust','')"/>
    <hyperlink ref="J42" r:id="rId425" display="javascript:__doPostBack('ctl00$ContentPlaceHolder1$Grd_tot_detail$ctl32$hypSeptember','')"/>
    <hyperlink ref="K42" r:id="rId426" display="javascript:__doPostBack('ctl00$ContentPlaceHolder1$Grd_tot_detail$ctl32$hypOcteber','')"/>
    <hyperlink ref="L42" r:id="rId427" display="javascript:__doPostBack('ctl00$ContentPlaceHolder1$Grd_tot_detail$ctl32$hypNovember','')"/>
    <hyperlink ref="M42" r:id="rId428" display="javascript:__doPostBack('ctl00$ContentPlaceHolder1$Grd_tot_detail$ctl32$hypDecember','')"/>
    <hyperlink ref="N42" r:id="rId429" display="javascript:__doPostBack('ctl00$ContentPlaceHolder1$Grd_tot_detail$ctl32$hypJanuary','')"/>
    <hyperlink ref="O42" r:id="rId430" display="javascript:__doPostBack('ctl00$ContentPlaceHolder1$Grd_tot_detail$ctl32$hypFeb','')"/>
    <hyperlink ref="P42" r:id="rId431" display="javascript:__doPostBack('ctl00$ContentPlaceHolder1$Grd_tot_detail$ctl32$hypMarch','')"/>
    <hyperlink ref="C43" r:id="rId432" display="javascript:__doPostBack('ctl00$ContentPlaceHolder1$Grd_tot_detail$ctl33$lbtnttlsch','')"/>
    <hyperlink ref="D43" r:id="rId433" display="javascript:__doPostBack('ctl00$ContentPlaceHolder1$Grd_tot_detail$ctl33$lbtnfreezsch','')"/>
    <hyperlink ref="E43" r:id="rId434" display="javascript:__doPostBack('ctl00$ContentPlaceHolder1$Grd_tot_detail$ctl33$hypapr','')"/>
    <hyperlink ref="F43" r:id="rId435" display="javascript:__doPostBack('ctl00$ContentPlaceHolder1$Grd_tot_detail$ctl33$hypmay','')"/>
    <hyperlink ref="G43" r:id="rId436" display="javascript:__doPostBack('ctl00$ContentPlaceHolder1$Grd_tot_detail$ctl33$hypjune','')"/>
    <hyperlink ref="H43" r:id="rId437" display="javascript:__doPostBack('ctl00$ContentPlaceHolder1$Grd_tot_detail$ctl33$hypjuly','')"/>
    <hyperlink ref="I43" r:id="rId438" display="javascript:__doPostBack('ctl00$ContentPlaceHolder1$Grd_tot_detail$ctl33$hypAugust','')"/>
    <hyperlink ref="J43" r:id="rId439" display="javascript:__doPostBack('ctl00$ContentPlaceHolder1$Grd_tot_detail$ctl33$hypSeptember','')"/>
    <hyperlink ref="K43" r:id="rId440" display="javascript:__doPostBack('ctl00$ContentPlaceHolder1$Grd_tot_detail$ctl33$hypOcteber','')"/>
    <hyperlink ref="L43" r:id="rId441" display="javascript:__doPostBack('ctl00$ContentPlaceHolder1$Grd_tot_detail$ctl33$hypNovember','')"/>
    <hyperlink ref="M43" r:id="rId442" display="javascript:__doPostBack('ctl00$ContentPlaceHolder1$Grd_tot_detail$ctl33$hypDecember','')"/>
    <hyperlink ref="N43" r:id="rId443" display="javascript:__doPostBack('ctl00$ContentPlaceHolder1$Grd_tot_detail$ctl33$hypJanuary','')"/>
    <hyperlink ref="O43" r:id="rId444" display="javascript:__doPostBack('ctl00$ContentPlaceHolder1$Grd_tot_detail$ctl33$hypFeb','')"/>
    <hyperlink ref="P43" r:id="rId445" display="javascript:__doPostBack('ctl00$ContentPlaceHolder1$Grd_tot_detail$ctl33$hypMarch','')"/>
    <hyperlink ref="C44" r:id="rId446" display="javascript:__doPostBack('ctl00$ContentPlaceHolder1$Grd_tot_detail$ctl34$lbtnttlsch','')"/>
    <hyperlink ref="D44" r:id="rId447" display="javascript:__doPostBack('ctl00$ContentPlaceHolder1$Grd_tot_detail$ctl34$lbtnfreezsch','')"/>
    <hyperlink ref="E44" r:id="rId448" display="javascript:__doPostBack('ctl00$ContentPlaceHolder1$Grd_tot_detail$ctl34$hypapr','')"/>
    <hyperlink ref="F44" r:id="rId449" display="javascript:__doPostBack('ctl00$ContentPlaceHolder1$Grd_tot_detail$ctl34$hypmay','')"/>
    <hyperlink ref="G44" r:id="rId450" display="javascript:__doPostBack('ctl00$ContentPlaceHolder1$Grd_tot_detail$ctl34$hypjune','')"/>
    <hyperlink ref="H44" r:id="rId451" display="javascript:__doPostBack('ctl00$ContentPlaceHolder1$Grd_tot_detail$ctl34$hypjuly','')"/>
    <hyperlink ref="I44" r:id="rId452" display="javascript:__doPostBack('ctl00$ContentPlaceHolder1$Grd_tot_detail$ctl34$hypAugust','')"/>
    <hyperlink ref="J44" r:id="rId453" display="javascript:__doPostBack('ctl00$ContentPlaceHolder1$Grd_tot_detail$ctl34$hypSeptember','')"/>
    <hyperlink ref="K44" r:id="rId454" display="javascript:__doPostBack('ctl00$ContentPlaceHolder1$Grd_tot_detail$ctl34$hypOcteber','')"/>
    <hyperlink ref="L44" r:id="rId455" display="javascript:__doPostBack('ctl00$ContentPlaceHolder1$Grd_tot_detail$ctl34$hypNovember','')"/>
    <hyperlink ref="M44" r:id="rId456" display="javascript:__doPostBack('ctl00$ContentPlaceHolder1$Grd_tot_detail$ctl34$hypDecember','')"/>
    <hyperlink ref="N44" r:id="rId457" display="javascript:__doPostBack('ctl00$ContentPlaceHolder1$Grd_tot_detail$ctl34$hypJanuary','')"/>
    <hyperlink ref="O44" r:id="rId458" display="javascript:__doPostBack('ctl00$ContentPlaceHolder1$Grd_tot_detail$ctl34$hypFeb','')"/>
    <hyperlink ref="P44" r:id="rId459" display="javascript:__doPostBack('ctl00$ContentPlaceHolder1$Grd_tot_detail$ctl34$hypMarch','')"/>
  </hyperlinks>
  <printOptions horizontalCentered="1"/>
  <pageMargins left="0.70866141732283472" right="0.70866141732283472" top="0.23622047244094491" bottom="0" header="0.31496062992125984" footer="0.31496062992125984"/>
  <pageSetup paperSize="9" scale="76" orientation="landscape" r:id="rId460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55"/>
  <sheetViews>
    <sheetView view="pageBreakPreview" topLeftCell="A22" zoomScale="90" zoomScaleSheetLayoutView="90" workbookViewId="0">
      <selection activeCell="O63" sqref="O63"/>
    </sheetView>
  </sheetViews>
  <sheetFormatPr defaultRowHeight="12.75"/>
  <cols>
    <col min="1" max="1" width="8.5703125" style="224" customWidth="1"/>
    <col min="2" max="2" width="17.85546875" style="224" customWidth="1"/>
    <col min="3" max="3" width="11.140625" style="224" customWidth="1"/>
    <col min="4" max="4" width="17.140625" style="224" customWidth="1"/>
    <col min="5" max="6" width="9.140625" style="224" customWidth="1"/>
    <col min="7" max="7" width="7.85546875" style="224" customWidth="1"/>
    <col min="8" max="8" width="8.42578125" style="224" customWidth="1"/>
    <col min="9" max="9" width="9.28515625" style="224" customWidth="1"/>
    <col min="10" max="10" width="10.28515625" style="224" customWidth="1"/>
    <col min="11" max="11" width="9.140625" style="224" customWidth="1"/>
    <col min="12" max="12" width="10.140625" style="224" customWidth="1"/>
    <col min="13" max="13" width="11" style="224" customWidth="1"/>
    <col min="14" max="14" width="10.140625" style="224" customWidth="1"/>
    <col min="15" max="15" width="7.42578125" style="224" customWidth="1"/>
    <col min="16" max="16" width="7.85546875" style="224" customWidth="1"/>
    <col min="17" max="16384" width="9.140625" style="224"/>
  </cols>
  <sheetData>
    <row r="1" spans="1:16">
      <c r="H1" s="918"/>
      <c r="I1" s="918"/>
      <c r="L1" s="1069" t="s">
        <v>551</v>
      </c>
      <c r="M1" s="1069"/>
    </row>
    <row r="2" spans="1:16">
      <c r="C2" s="918" t="s">
        <v>638</v>
      </c>
      <c r="D2" s="918"/>
      <c r="E2" s="918"/>
      <c r="F2" s="918"/>
      <c r="G2" s="918"/>
      <c r="H2" s="918"/>
      <c r="I2" s="918"/>
      <c r="J2" s="918"/>
      <c r="L2" s="227"/>
    </row>
    <row r="3" spans="1:16" s="228" customFormat="1" ht="15.75">
      <c r="A3" s="1066" t="s">
        <v>709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</row>
    <row r="4" spans="1:16" s="228" customFormat="1" ht="20.25" customHeight="1">
      <c r="A4" s="1066" t="s">
        <v>776</v>
      </c>
      <c r="B4" s="1066"/>
      <c r="C4" s="1066"/>
      <c r="D4" s="1066"/>
      <c r="E4" s="1066"/>
      <c r="F4" s="1066"/>
      <c r="G4" s="1066"/>
      <c r="H4" s="1066"/>
      <c r="I4" s="1066"/>
      <c r="J4" s="1066"/>
      <c r="K4" s="1066"/>
      <c r="L4" s="1066"/>
      <c r="M4" s="1066"/>
    </row>
    <row r="6" spans="1:16">
      <c r="A6" s="229" t="s">
        <v>923</v>
      </c>
      <c r="B6" s="230"/>
      <c r="C6" s="231"/>
      <c r="D6" s="231"/>
      <c r="E6" s="231"/>
      <c r="F6" s="231"/>
      <c r="G6" s="231"/>
      <c r="H6" s="231"/>
      <c r="I6" s="231"/>
      <c r="J6" s="231"/>
    </row>
    <row r="7" spans="1:16">
      <c r="A7" s="229"/>
      <c r="B7" s="231"/>
      <c r="C7" s="231"/>
      <c r="D7" s="231"/>
      <c r="E7" s="231"/>
      <c r="F7" s="231"/>
      <c r="G7" s="231"/>
      <c r="H7" s="231"/>
      <c r="I7" s="231"/>
      <c r="J7" s="231"/>
    </row>
    <row r="8" spans="1:16">
      <c r="A8" s="229"/>
      <c r="B8" s="231"/>
      <c r="C8" s="231"/>
      <c r="D8" s="231"/>
      <c r="E8" s="231"/>
      <c r="F8" s="231"/>
      <c r="G8" s="231"/>
      <c r="H8" s="231"/>
      <c r="I8" s="231"/>
      <c r="J8" s="231"/>
    </row>
    <row r="9" spans="1:16">
      <c r="A9" s="1073" t="s">
        <v>865</v>
      </c>
      <c r="B9" s="1074"/>
      <c r="C9" s="1074"/>
      <c r="D9" s="1074"/>
      <c r="E9" s="1074"/>
      <c r="F9" s="1075"/>
      <c r="G9" s="236"/>
      <c r="H9" s="231"/>
      <c r="I9" s="231"/>
      <c r="J9" s="231"/>
    </row>
    <row r="10" spans="1:16">
      <c r="A10" s="1073" t="s">
        <v>866</v>
      </c>
      <c r="B10" s="1074"/>
      <c r="C10" s="1074"/>
      <c r="D10" s="1074"/>
      <c r="E10" s="1074"/>
      <c r="F10" s="1075"/>
      <c r="G10" s="236"/>
      <c r="H10" s="231"/>
      <c r="I10" s="231"/>
      <c r="J10" s="231"/>
    </row>
    <row r="12" spans="1:16" s="232" customFormat="1" ht="15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922" t="s">
        <v>784</v>
      </c>
      <c r="L12" s="922"/>
      <c r="M12" s="922"/>
      <c r="N12" s="922"/>
      <c r="O12" s="922"/>
      <c r="P12" s="922"/>
    </row>
    <row r="13" spans="1:16" s="232" customFormat="1" ht="20.25" customHeight="1">
      <c r="A13" s="1010" t="s">
        <v>2</v>
      </c>
      <c r="B13" s="1010" t="s">
        <v>3</v>
      </c>
      <c r="C13" s="1016" t="s">
        <v>273</v>
      </c>
      <c r="D13" s="1016" t="s">
        <v>550</v>
      </c>
      <c r="E13" s="1070" t="s">
        <v>663</v>
      </c>
      <c r="F13" s="1071"/>
      <c r="G13" s="1071"/>
      <c r="H13" s="1071"/>
      <c r="I13" s="1071"/>
      <c r="J13" s="1071"/>
      <c r="K13" s="1071"/>
      <c r="L13" s="1071"/>
      <c r="M13" s="1071"/>
      <c r="N13" s="1071"/>
      <c r="O13" s="1071"/>
      <c r="P13" s="1072"/>
    </row>
    <row r="14" spans="1:16" s="232" customFormat="1" ht="35.25" customHeight="1">
      <c r="A14" s="1011"/>
      <c r="B14" s="1011"/>
      <c r="C14" s="1017"/>
      <c r="D14" s="1017"/>
      <c r="E14" s="324" t="s">
        <v>801</v>
      </c>
      <c r="F14" s="324" t="s">
        <v>276</v>
      </c>
      <c r="G14" s="324" t="s">
        <v>277</v>
      </c>
      <c r="H14" s="324" t="s">
        <v>278</v>
      </c>
      <c r="I14" s="324" t="s">
        <v>279</v>
      </c>
      <c r="J14" s="324" t="s">
        <v>280</v>
      </c>
      <c r="K14" s="324" t="s">
        <v>281</v>
      </c>
      <c r="L14" s="324" t="s">
        <v>282</v>
      </c>
      <c r="M14" s="324" t="s">
        <v>802</v>
      </c>
      <c r="N14" s="245" t="s">
        <v>803</v>
      </c>
      <c r="O14" s="245" t="s">
        <v>857</v>
      </c>
      <c r="P14" s="245" t="s">
        <v>858</v>
      </c>
    </row>
    <row r="15" spans="1:16" s="232" customFormat="1" ht="12.75" customHeight="1">
      <c r="A15" s="235">
        <v>1</v>
      </c>
      <c r="B15" s="235">
        <v>2</v>
      </c>
      <c r="C15" s="235">
        <v>3</v>
      </c>
      <c r="D15" s="235">
        <v>4</v>
      </c>
      <c r="E15" s="235">
        <v>5</v>
      </c>
      <c r="F15" s="235">
        <v>6</v>
      </c>
      <c r="G15" s="235">
        <v>7</v>
      </c>
      <c r="H15" s="235">
        <v>8</v>
      </c>
      <c r="I15" s="235">
        <v>9</v>
      </c>
      <c r="J15" s="235">
        <v>10</v>
      </c>
      <c r="K15" s="235">
        <v>11</v>
      </c>
      <c r="L15" s="235">
        <v>12</v>
      </c>
      <c r="M15" s="235">
        <v>13</v>
      </c>
      <c r="N15" s="235">
        <v>14</v>
      </c>
      <c r="O15" s="235">
        <v>15</v>
      </c>
      <c r="P15" s="235">
        <v>16</v>
      </c>
    </row>
    <row r="16" spans="1:16" ht="15.75">
      <c r="A16" s="675">
        <v>1</v>
      </c>
      <c r="B16" s="675" t="s">
        <v>1007</v>
      </c>
      <c r="C16" s="810">
        <v>1934</v>
      </c>
      <c r="D16" s="810">
        <v>1934</v>
      </c>
      <c r="E16" s="810">
        <v>1767</v>
      </c>
      <c r="F16" s="810">
        <v>1674</v>
      </c>
      <c r="G16" s="810">
        <v>1558</v>
      </c>
      <c r="H16" s="810">
        <v>1725</v>
      </c>
      <c r="I16" s="810">
        <v>1703</v>
      </c>
      <c r="J16" s="810">
        <v>1685</v>
      </c>
      <c r="K16" s="810">
        <v>1643</v>
      </c>
      <c r="L16" s="810">
        <v>1590</v>
      </c>
      <c r="M16" s="810">
        <v>1651</v>
      </c>
      <c r="N16" s="810">
        <v>1726</v>
      </c>
      <c r="O16" s="810">
        <v>1760</v>
      </c>
      <c r="P16" s="810">
        <v>1762</v>
      </c>
    </row>
    <row r="17" spans="1:16" ht="15.75">
      <c r="A17" s="675">
        <v>2</v>
      </c>
      <c r="B17" s="675" t="s">
        <v>1008</v>
      </c>
      <c r="C17" s="810">
        <v>2923</v>
      </c>
      <c r="D17" s="810">
        <v>2923</v>
      </c>
      <c r="E17" s="810">
        <v>2674</v>
      </c>
      <c r="F17" s="810">
        <v>2618</v>
      </c>
      <c r="G17" s="810">
        <v>2551</v>
      </c>
      <c r="H17" s="810">
        <v>2670</v>
      </c>
      <c r="I17" s="810">
        <v>2654</v>
      </c>
      <c r="J17" s="810">
        <v>2627</v>
      </c>
      <c r="K17" s="810">
        <v>2599</v>
      </c>
      <c r="L17" s="810">
        <v>2556</v>
      </c>
      <c r="M17" s="810">
        <v>2577</v>
      </c>
      <c r="N17" s="810">
        <v>2595</v>
      </c>
      <c r="O17" s="810">
        <v>2620</v>
      </c>
      <c r="P17" s="810">
        <v>2640</v>
      </c>
    </row>
    <row r="18" spans="1:16" ht="15.75">
      <c r="A18" s="675">
        <v>3</v>
      </c>
      <c r="B18" s="675" t="s">
        <v>1009</v>
      </c>
      <c r="C18" s="810">
        <v>2691</v>
      </c>
      <c r="D18" s="810">
        <v>2691</v>
      </c>
      <c r="E18" s="810">
        <v>2364</v>
      </c>
      <c r="F18" s="810">
        <v>1921</v>
      </c>
      <c r="G18" s="810">
        <v>1392</v>
      </c>
      <c r="H18" s="810">
        <v>2305</v>
      </c>
      <c r="I18" s="810">
        <v>2299</v>
      </c>
      <c r="J18" s="810">
        <v>2224</v>
      </c>
      <c r="K18" s="810">
        <v>2195</v>
      </c>
      <c r="L18" s="810">
        <v>2117</v>
      </c>
      <c r="M18" s="810">
        <v>2118</v>
      </c>
      <c r="N18" s="810">
        <v>2092</v>
      </c>
      <c r="O18" s="810">
        <v>2094</v>
      </c>
      <c r="P18" s="810">
        <v>2163</v>
      </c>
    </row>
    <row r="19" spans="1:16" s="151" customFormat="1" ht="12.75" customHeight="1">
      <c r="A19" s="675">
        <v>4</v>
      </c>
      <c r="B19" s="675" t="s">
        <v>1010</v>
      </c>
      <c r="C19" s="810">
        <v>1335</v>
      </c>
      <c r="D19" s="810">
        <v>1335</v>
      </c>
      <c r="E19" s="810">
        <v>1237</v>
      </c>
      <c r="F19" s="810">
        <v>1153</v>
      </c>
      <c r="G19" s="810">
        <v>1009</v>
      </c>
      <c r="H19" s="810">
        <v>1207</v>
      </c>
      <c r="I19" s="810">
        <v>1193</v>
      </c>
      <c r="J19" s="810">
        <v>1176</v>
      </c>
      <c r="K19" s="810">
        <v>1143</v>
      </c>
      <c r="L19" s="810">
        <v>1119</v>
      </c>
      <c r="M19" s="810">
        <v>1163</v>
      </c>
      <c r="N19" s="810">
        <v>1181</v>
      </c>
      <c r="O19" s="810">
        <v>1245</v>
      </c>
      <c r="P19" s="810">
        <v>1259</v>
      </c>
    </row>
    <row r="20" spans="1:16" s="151" customFormat="1" ht="12.75" customHeight="1">
      <c r="A20" s="675">
        <v>5</v>
      </c>
      <c r="B20" s="675" t="s">
        <v>1011</v>
      </c>
      <c r="C20" s="810">
        <v>4947</v>
      </c>
      <c r="D20" s="810">
        <v>4947</v>
      </c>
      <c r="E20" s="810">
        <v>4123</v>
      </c>
      <c r="F20" s="810">
        <v>3670</v>
      </c>
      <c r="G20" s="810">
        <v>3369</v>
      </c>
      <c r="H20" s="810">
        <v>4001</v>
      </c>
      <c r="I20" s="810">
        <v>3984</v>
      </c>
      <c r="J20" s="810">
        <v>3873</v>
      </c>
      <c r="K20" s="810">
        <v>3742</v>
      </c>
      <c r="L20" s="810">
        <v>3500</v>
      </c>
      <c r="M20" s="810">
        <v>3440</v>
      </c>
      <c r="N20" s="810">
        <v>3542</v>
      </c>
      <c r="O20" s="810">
        <v>3567</v>
      </c>
      <c r="P20" s="810">
        <v>3650</v>
      </c>
    </row>
    <row r="21" spans="1:16" s="151" customFormat="1" ht="13.15" customHeight="1">
      <c r="A21" s="675">
        <v>6</v>
      </c>
      <c r="B21" s="675" t="s">
        <v>1012</v>
      </c>
      <c r="C21" s="810">
        <v>1776</v>
      </c>
      <c r="D21" s="810">
        <v>1776</v>
      </c>
      <c r="E21" s="810">
        <v>1642</v>
      </c>
      <c r="F21" s="810">
        <v>1559</v>
      </c>
      <c r="G21" s="810">
        <v>1450</v>
      </c>
      <c r="H21" s="810">
        <v>1611</v>
      </c>
      <c r="I21" s="810">
        <v>1578</v>
      </c>
      <c r="J21" s="810">
        <v>1544</v>
      </c>
      <c r="K21" s="810">
        <v>1505</v>
      </c>
      <c r="L21" s="810">
        <v>1481</v>
      </c>
      <c r="M21" s="810">
        <v>1472</v>
      </c>
      <c r="N21" s="810">
        <v>1480</v>
      </c>
      <c r="O21" s="810">
        <v>1467</v>
      </c>
      <c r="P21" s="810">
        <v>1474</v>
      </c>
    </row>
    <row r="22" spans="1:16" ht="12.75" customHeight="1">
      <c r="A22" s="675">
        <v>7</v>
      </c>
      <c r="B22" s="675" t="s">
        <v>1013</v>
      </c>
      <c r="C22" s="810">
        <v>2888</v>
      </c>
      <c r="D22" s="810">
        <v>2888</v>
      </c>
      <c r="E22" s="810">
        <v>2678</v>
      </c>
      <c r="F22" s="810">
        <v>2571</v>
      </c>
      <c r="G22" s="810">
        <v>2461</v>
      </c>
      <c r="H22" s="810">
        <v>2575</v>
      </c>
      <c r="I22" s="810">
        <v>2478</v>
      </c>
      <c r="J22" s="810">
        <v>2379</v>
      </c>
      <c r="K22" s="810">
        <v>2306</v>
      </c>
      <c r="L22" s="810">
        <v>2312</v>
      </c>
      <c r="M22" s="810">
        <v>2414</v>
      </c>
      <c r="N22" s="810">
        <v>2373</v>
      </c>
      <c r="O22" s="810">
        <v>2320</v>
      </c>
      <c r="P22" s="810">
        <v>2510</v>
      </c>
    </row>
    <row r="23" spans="1:16" ht="15.75">
      <c r="A23" s="675">
        <v>8</v>
      </c>
      <c r="B23" s="675" t="s">
        <v>1014</v>
      </c>
      <c r="C23" s="810">
        <v>2014</v>
      </c>
      <c r="D23" s="810">
        <v>2014</v>
      </c>
      <c r="E23" s="810">
        <v>1680</v>
      </c>
      <c r="F23" s="810">
        <v>1377</v>
      </c>
      <c r="G23" s="810">
        <v>1107</v>
      </c>
      <c r="H23" s="810">
        <v>1627</v>
      </c>
      <c r="I23" s="810">
        <v>1610</v>
      </c>
      <c r="J23" s="810">
        <v>1602</v>
      </c>
      <c r="K23" s="810">
        <v>1583</v>
      </c>
      <c r="L23" s="810">
        <v>1530</v>
      </c>
      <c r="M23" s="810">
        <v>1508</v>
      </c>
      <c r="N23" s="810">
        <v>1476</v>
      </c>
      <c r="O23" s="810">
        <v>1515</v>
      </c>
      <c r="P23" s="810">
        <v>1553</v>
      </c>
    </row>
    <row r="24" spans="1:16" ht="15.75">
      <c r="A24" s="675">
        <v>9</v>
      </c>
      <c r="B24" s="675" t="s">
        <v>1015</v>
      </c>
      <c r="C24" s="810">
        <v>1310</v>
      </c>
      <c r="D24" s="810">
        <v>1310</v>
      </c>
      <c r="E24" s="810">
        <v>1223</v>
      </c>
      <c r="F24" s="810">
        <v>1175</v>
      </c>
      <c r="G24" s="810">
        <v>1029</v>
      </c>
      <c r="H24" s="810">
        <v>1197</v>
      </c>
      <c r="I24" s="810">
        <v>1174</v>
      </c>
      <c r="J24" s="810">
        <v>1160</v>
      </c>
      <c r="K24" s="810">
        <v>1144</v>
      </c>
      <c r="L24" s="810">
        <v>1130</v>
      </c>
      <c r="M24" s="810">
        <v>1134</v>
      </c>
      <c r="N24" s="810">
        <v>1125</v>
      </c>
      <c r="O24" s="810">
        <v>1156</v>
      </c>
      <c r="P24" s="810">
        <v>1171</v>
      </c>
    </row>
    <row r="25" spans="1:16" ht="15.75">
      <c r="A25" s="675">
        <v>10</v>
      </c>
      <c r="B25" s="675" t="s">
        <v>1016</v>
      </c>
      <c r="C25" s="810">
        <v>1848</v>
      </c>
      <c r="D25" s="810">
        <v>1848</v>
      </c>
      <c r="E25" s="810">
        <v>1764</v>
      </c>
      <c r="F25" s="810">
        <v>1710</v>
      </c>
      <c r="G25" s="810">
        <v>1686</v>
      </c>
      <c r="H25" s="810">
        <v>1766</v>
      </c>
      <c r="I25" s="810">
        <v>1754</v>
      </c>
      <c r="J25" s="810">
        <v>1728</v>
      </c>
      <c r="K25" s="810">
        <v>1712</v>
      </c>
      <c r="L25" s="810">
        <v>1687</v>
      </c>
      <c r="M25" s="810">
        <v>1688</v>
      </c>
      <c r="N25" s="810">
        <v>1698</v>
      </c>
      <c r="O25" s="810">
        <v>1679</v>
      </c>
      <c r="P25" s="810">
        <v>1713</v>
      </c>
    </row>
    <row r="26" spans="1:16" ht="15.75">
      <c r="A26" s="675">
        <v>11</v>
      </c>
      <c r="B26" s="675" t="s">
        <v>1017</v>
      </c>
      <c r="C26" s="810">
        <v>1472</v>
      </c>
      <c r="D26" s="810">
        <v>1472</v>
      </c>
      <c r="E26" s="810">
        <v>1338</v>
      </c>
      <c r="F26" s="810">
        <v>1270</v>
      </c>
      <c r="G26" s="810">
        <v>1164</v>
      </c>
      <c r="H26" s="810">
        <v>1306</v>
      </c>
      <c r="I26" s="810">
        <v>1273</v>
      </c>
      <c r="J26" s="810">
        <v>1253</v>
      </c>
      <c r="K26" s="810">
        <v>1228</v>
      </c>
      <c r="L26" s="810">
        <v>1203</v>
      </c>
      <c r="M26" s="810">
        <v>1204</v>
      </c>
      <c r="N26" s="810">
        <v>1152</v>
      </c>
      <c r="O26" s="810">
        <v>1157</v>
      </c>
      <c r="P26" s="810">
        <v>1172</v>
      </c>
    </row>
    <row r="27" spans="1:16" ht="15.75">
      <c r="A27" s="675">
        <v>12</v>
      </c>
      <c r="B27" s="675" t="s">
        <v>1018</v>
      </c>
      <c r="C27" s="810">
        <v>1555</v>
      </c>
      <c r="D27" s="810">
        <v>1555</v>
      </c>
      <c r="E27" s="810">
        <v>1451</v>
      </c>
      <c r="F27" s="810">
        <v>1396</v>
      </c>
      <c r="G27" s="810">
        <v>1370</v>
      </c>
      <c r="H27" s="810">
        <v>1461</v>
      </c>
      <c r="I27" s="810">
        <v>1452</v>
      </c>
      <c r="J27" s="810">
        <v>1448</v>
      </c>
      <c r="K27" s="810">
        <v>1448</v>
      </c>
      <c r="L27" s="810">
        <v>1430</v>
      </c>
      <c r="M27" s="810">
        <v>1404</v>
      </c>
      <c r="N27" s="810">
        <v>1394</v>
      </c>
      <c r="O27" s="810">
        <v>1402</v>
      </c>
      <c r="P27" s="810">
        <v>1398</v>
      </c>
    </row>
    <row r="28" spans="1:16" ht="15.75">
      <c r="A28" s="675">
        <v>13</v>
      </c>
      <c r="B28" s="675" t="s">
        <v>1019</v>
      </c>
      <c r="C28" s="810">
        <v>1165</v>
      </c>
      <c r="D28" s="810">
        <v>1165</v>
      </c>
      <c r="E28" s="810">
        <v>1021</v>
      </c>
      <c r="F28" s="810">
        <v>857</v>
      </c>
      <c r="G28" s="810">
        <v>787</v>
      </c>
      <c r="H28" s="810">
        <v>1006</v>
      </c>
      <c r="I28" s="810">
        <v>984</v>
      </c>
      <c r="J28" s="810">
        <v>920</v>
      </c>
      <c r="K28" s="810">
        <v>871</v>
      </c>
      <c r="L28" s="810">
        <v>837</v>
      </c>
      <c r="M28" s="810">
        <v>868</v>
      </c>
      <c r="N28" s="810">
        <v>931</v>
      </c>
      <c r="O28" s="810">
        <v>927</v>
      </c>
      <c r="P28" s="810">
        <v>915</v>
      </c>
    </row>
    <row r="29" spans="1:16" ht="15.75">
      <c r="A29" s="675">
        <v>14</v>
      </c>
      <c r="B29" s="675" t="s">
        <v>1020</v>
      </c>
      <c r="C29" s="810">
        <v>2250</v>
      </c>
      <c r="D29" s="810">
        <v>2250</v>
      </c>
      <c r="E29" s="810">
        <v>1621</v>
      </c>
      <c r="F29" s="810">
        <v>1430</v>
      </c>
      <c r="G29" s="810">
        <v>1242</v>
      </c>
      <c r="H29" s="810">
        <v>1612</v>
      </c>
      <c r="I29" s="810">
        <v>1636</v>
      </c>
      <c r="J29" s="810">
        <v>1517</v>
      </c>
      <c r="K29" s="810">
        <v>1466</v>
      </c>
      <c r="L29" s="810">
        <v>1334</v>
      </c>
      <c r="M29" s="810">
        <v>1544</v>
      </c>
      <c r="N29" s="810">
        <v>1474</v>
      </c>
      <c r="O29" s="810">
        <v>1527</v>
      </c>
      <c r="P29" s="810">
        <v>1652</v>
      </c>
    </row>
    <row r="30" spans="1:16" ht="15.75">
      <c r="A30" s="675">
        <v>15</v>
      </c>
      <c r="B30" s="675" t="s">
        <v>1021</v>
      </c>
      <c r="C30" s="810">
        <v>1965</v>
      </c>
      <c r="D30" s="810">
        <v>1965</v>
      </c>
      <c r="E30" s="810">
        <v>1906</v>
      </c>
      <c r="F30" s="810">
        <v>1895</v>
      </c>
      <c r="G30" s="810">
        <v>1861</v>
      </c>
      <c r="H30" s="810">
        <v>1903</v>
      </c>
      <c r="I30" s="810">
        <v>1912</v>
      </c>
      <c r="J30" s="810">
        <v>1887</v>
      </c>
      <c r="K30" s="810">
        <v>1876</v>
      </c>
      <c r="L30" s="810">
        <v>1867</v>
      </c>
      <c r="M30" s="810">
        <v>1880</v>
      </c>
      <c r="N30" s="810">
        <v>1875</v>
      </c>
      <c r="O30" s="810">
        <v>1902</v>
      </c>
      <c r="P30" s="810">
        <v>1870</v>
      </c>
    </row>
    <row r="31" spans="1:16" ht="15.75">
      <c r="A31" s="675">
        <v>16</v>
      </c>
      <c r="B31" s="675" t="s">
        <v>1022</v>
      </c>
      <c r="C31" s="810">
        <v>1089</v>
      </c>
      <c r="D31" s="810">
        <v>1089</v>
      </c>
      <c r="E31" s="810">
        <v>907</v>
      </c>
      <c r="F31" s="810">
        <v>843</v>
      </c>
      <c r="G31" s="810">
        <v>796</v>
      </c>
      <c r="H31" s="810">
        <v>876</v>
      </c>
      <c r="I31" s="810">
        <v>844</v>
      </c>
      <c r="J31" s="810">
        <v>953</v>
      </c>
      <c r="K31" s="810">
        <v>927</v>
      </c>
      <c r="L31" s="810">
        <v>902</v>
      </c>
      <c r="M31" s="810">
        <v>882</v>
      </c>
      <c r="N31" s="810">
        <v>835</v>
      </c>
      <c r="O31" s="810">
        <v>866</v>
      </c>
      <c r="P31" s="810">
        <v>879</v>
      </c>
    </row>
    <row r="32" spans="1:16" ht="15.75">
      <c r="A32" s="675">
        <v>17</v>
      </c>
      <c r="B32" s="675" t="s">
        <v>1023</v>
      </c>
      <c r="C32" s="810">
        <v>3764</v>
      </c>
      <c r="D32" s="810">
        <v>3764</v>
      </c>
      <c r="E32" s="810">
        <v>3056</v>
      </c>
      <c r="F32" s="810">
        <v>2884</v>
      </c>
      <c r="G32" s="810">
        <v>2790</v>
      </c>
      <c r="H32" s="810">
        <v>3062</v>
      </c>
      <c r="I32" s="810">
        <v>3000</v>
      </c>
      <c r="J32" s="810">
        <v>2979</v>
      </c>
      <c r="K32" s="810">
        <v>2945</v>
      </c>
      <c r="L32" s="810">
        <v>2864</v>
      </c>
      <c r="M32" s="810">
        <v>2855</v>
      </c>
      <c r="N32" s="810">
        <v>2720</v>
      </c>
      <c r="O32" s="810">
        <v>2778</v>
      </c>
      <c r="P32" s="810">
        <v>2819</v>
      </c>
    </row>
    <row r="33" spans="1:16" ht="15.75">
      <c r="A33" s="675">
        <v>18</v>
      </c>
      <c r="B33" s="675" t="s">
        <v>1024</v>
      </c>
      <c r="C33" s="810">
        <v>1305</v>
      </c>
      <c r="D33" s="810">
        <v>1305</v>
      </c>
      <c r="E33" s="810">
        <v>840</v>
      </c>
      <c r="F33" s="810">
        <v>761</v>
      </c>
      <c r="G33" s="810">
        <v>652</v>
      </c>
      <c r="H33" s="810">
        <v>691</v>
      </c>
      <c r="I33" s="810">
        <v>645</v>
      </c>
      <c r="J33" s="810">
        <v>824</v>
      </c>
      <c r="K33" s="810">
        <v>769</v>
      </c>
      <c r="L33" s="810">
        <v>732</v>
      </c>
      <c r="M33" s="810">
        <v>736</v>
      </c>
      <c r="N33" s="810">
        <v>721</v>
      </c>
      <c r="O33" s="810">
        <v>724</v>
      </c>
      <c r="P33" s="810">
        <v>749</v>
      </c>
    </row>
    <row r="34" spans="1:16" ht="15.75">
      <c r="A34" s="675">
        <v>19</v>
      </c>
      <c r="B34" s="675" t="s">
        <v>1025</v>
      </c>
      <c r="C34" s="810">
        <v>1923</v>
      </c>
      <c r="D34" s="810">
        <v>1923</v>
      </c>
      <c r="E34" s="810">
        <v>1770</v>
      </c>
      <c r="F34" s="810">
        <v>1605</v>
      </c>
      <c r="G34" s="810">
        <v>1416</v>
      </c>
      <c r="H34" s="810">
        <v>1642</v>
      </c>
      <c r="I34" s="810">
        <v>1593</v>
      </c>
      <c r="J34" s="810">
        <v>1650</v>
      </c>
      <c r="K34" s="810">
        <v>1602</v>
      </c>
      <c r="L34" s="810">
        <v>1536</v>
      </c>
      <c r="M34" s="810">
        <v>1574</v>
      </c>
      <c r="N34" s="810">
        <v>1565</v>
      </c>
      <c r="O34" s="810">
        <v>1554</v>
      </c>
      <c r="P34" s="810">
        <v>1554</v>
      </c>
    </row>
    <row r="35" spans="1:16" ht="15.75">
      <c r="A35" s="675">
        <v>20</v>
      </c>
      <c r="B35" s="675" t="s">
        <v>1026</v>
      </c>
      <c r="C35" s="810">
        <v>1747</v>
      </c>
      <c r="D35" s="810">
        <v>1747</v>
      </c>
      <c r="E35" s="810">
        <v>1486</v>
      </c>
      <c r="F35" s="810">
        <v>1274</v>
      </c>
      <c r="G35" s="810">
        <v>1077</v>
      </c>
      <c r="H35" s="810">
        <v>1363</v>
      </c>
      <c r="I35" s="810">
        <v>1268</v>
      </c>
      <c r="J35" s="810">
        <v>1181</v>
      </c>
      <c r="K35" s="810">
        <v>1131</v>
      </c>
      <c r="L35" s="810">
        <v>1077</v>
      </c>
      <c r="M35" s="810">
        <v>1182</v>
      </c>
      <c r="N35" s="810">
        <v>1129</v>
      </c>
      <c r="O35" s="810">
        <v>1111</v>
      </c>
      <c r="P35" s="810">
        <v>1107</v>
      </c>
    </row>
    <row r="36" spans="1:16" ht="15.75">
      <c r="A36" s="675">
        <v>21</v>
      </c>
      <c r="B36" s="675" t="s">
        <v>1027</v>
      </c>
      <c r="C36" s="810">
        <v>1599</v>
      </c>
      <c r="D36" s="810">
        <v>1599</v>
      </c>
      <c r="E36" s="810">
        <v>1436</v>
      </c>
      <c r="F36" s="810">
        <v>1386</v>
      </c>
      <c r="G36" s="810">
        <v>1343</v>
      </c>
      <c r="H36" s="810">
        <v>1414</v>
      </c>
      <c r="I36" s="810">
        <v>1384</v>
      </c>
      <c r="J36" s="810">
        <v>1399</v>
      </c>
      <c r="K36" s="810">
        <v>1387</v>
      </c>
      <c r="L36" s="810">
        <v>1347</v>
      </c>
      <c r="M36" s="810">
        <v>1331</v>
      </c>
      <c r="N36" s="810">
        <v>1295</v>
      </c>
      <c r="O36" s="810">
        <v>1289</v>
      </c>
      <c r="P36" s="810">
        <v>1303</v>
      </c>
    </row>
    <row r="37" spans="1:16" ht="15.75">
      <c r="A37" s="675">
        <v>22</v>
      </c>
      <c r="B37" s="675" t="s">
        <v>1028</v>
      </c>
      <c r="C37" s="810">
        <v>3569</v>
      </c>
      <c r="D37" s="810">
        <v>3569</v>
      </c>
      <c r="E37" s="810">
        <v>3304</v>
      </c>
      <c r="F37" s="810">
        <v>3117</v>
      </c>
      <c r="G37" s="810">
        <v>2959</v>
      </c>
      <c r="H37" s="810">
        <v>3212</v>
      </c>
      <c r="I37" s="810">
        <v>3126</v>
      </c>
      <c r="J37" s="810">
        <v>3062</v>
      </c>
      <c r="K37" s="810">
        <v>3026</v>
      </c>
      <c r="L37" s="810">
        <v>2943</v>
      </c>
      <c r="M37" s="810">
        <v>2932</v>
      </c>
      <c r="N37" s="810">
        <v>2943</v>
      </c>
      <c r="O37" s="810">
        <v>2994</v>
      </c>
      <c r="P37" s="810">
        <v>3016</v>
      </c>
    </row>
    <row r="38" spans="1:16" ht="15.75">
      <c r="A38" s="675">
        <v>23</v>
      </c>
      <c r="B38" s="675" t="s">
        <v>1029</v>
      </c>
      <c r="C38" s="810">
        <v>1456</v>
      </c>
      <c r="D38" s="810">
        <v>1456</v>
      </c>
      <c r="E38" s="810">
        <v>1260</v>
      </c>
      <c r="F38" s="810">
        <v>1090</v>
      </c>
      <c r="G38" s="810">
        <v>871</v>
      </c>
      <c r="H38" s="810">
        <v>1236</v>
      </c>
      <c r="I38" s="810">
        <v>1232</v>
      </c>
      <c r="J38" s="810">
        <v>1194</v>
      </c>
      <c r="K38" s="810">
        <v>1163</v>
      </c>
      <c r="L38" s="810">
        <v>1101</v>
      </c>
      <c r="M38" s="810">
        <v>1067</v>
      </c>
      <c r="N38" s="810">
        <v>1046</v>
      </c>
      <c r="O38" s="810">
        <v>1049</v>
      </c>
      <c r="P38" s="810">
        <v>1086</v>
      </c>
    </row>
    <row r="39" spans="1:16" ht="15.75">
      <c r="A39" s="675">
        <v>24</v>
      </c>
      <c r="B39" s="675" t="s">
        <v>1030</v>
      </c>
      <c r="C39" s="810">
        <v>1163</v>
      </c>
      <c r="D39" s="810">
        <v>1163</v>
      </c>
      <c r="E39" s="810">
        <v>949</v>
      </c>
      <c r="F39" s="810">
        <v>841</v>
      </c>
      <c r="G39" s="810">
        <v>690</v>
      </c>
      <c r="H39" s="810">
        <v>902</v>
      </c>
      <c r="I39" s="810">
        <v>845</v>
      </c>
      <c r="J39" s="810">
        <v>767</v>
      </c>
      <c r="K39" s="810">
        <v>721</v>
      </c>
      <c r="L39" s="810">
        <v>676</v>
      </c>
      <c r="M39" s="810">
        <v>772</v>
      </c>
      <c r="N39" s="810">
        <v>713</v>
      </c>
      <c r="O39" s="810">
        <v>701</v>
      </c>
      <c r="P39" s="810">
        <v>693</v>
      </c>
    </row>
    <row r="40" spans="1:16" ht="15.75">
      <c r="A40" s="675">
        <v>25</v>
      </c>
      <c r="B40" s="675" t="s">
        <v>1031</v>
      </c>
      <c r="C40" s="810">
        <v>3110</v>
      </c>
      <c r="D40" s="810">
        <v>3110</v>
      </c>
      <c r="E40" s="810">
        <v>2811</v>
      </c>
      <c r="F40" s="810">
        <v>2731</v>
      </c>
      <c r="G40" s="810">
        <v>2548</v>
      </c>
      <c r="H40" s="810">
        <v>2780</v>
      </c>
      <c r="I40" s="810">
        <v>2770</v>
      </c>
      <c r="J40" s="810">
        <v>2759</v>
      </c>
      <c r="K40" s="810">
        <v>2753</v>
      </c>
      <c r="L40" s="810">
        <v>2711</v>
      </c>
      <c r="M40" s="810">
        <v>2730</v>
      </c>
      <c r="N40" s="810">
        <v>2717</v>
      </c>
      <c r="O40" s="810">
        <v>2721</v>
      </c>
      <c r="P40" s="810">
        <v>2713</v>
      </c>
    </row>
    <row r="41" spans="1:16" ht="15.75">
      <c r="A41" s="675">
        <v>26</v>
      </c>
      <c r="B41" s="675" t="s">
        <v>1032</v>
      </c>
      <c r="C41" s="810">
        <v>1807</v>
      </c>
      <c r="D41" s="810">
        <v>1807</v>
      </c>
      <c r="E41" s="810">
        <v>1654</v>
      </c>
      <c r="F41" s="810">
        <v>1449</v>
      </c>
      <c r="G41" s="810">
        <v>1253</v>
      </c>
      <c r="H41" s="810">
        <v>1562</v>
      </c>
      <c r="I41" s="810">
        <v>1515</v>
      </c>
      <c r="J41" s="810">
        <v>1506</v>
      </c>
      <c r="K41" s="810">
        <v>1446</v>
      </c>
      <c r="L41" s="810">
        <v>1412</v>
      </c>
      <c r="M41" s="810">
        <v>1406</v>
      </c>
      <c r="N41" s="810">
        <v>1409</v>
      </c>
      <c r="O41" s="810">
        <v>1427</v>
      </c>
      <c r="P41" s="810">
        <v>1405</v>
      </c>
    </row>
    <row r="42" spans="1:16" ht="15.75">
      <c r="A42" s="675">
        <v>27</v>
      </c>
      <c r="B42" s="675" t="s">
        <v>1033</v>
      </c>
      <c r="C42" s="810">
        <v>1361</v>
      </c>
      <c r="D42" s="810">
        <v>1361</v>
      </c>
      <c r="E42" s="810">
        <v>1054</v>
      </c>
      <c r="F42" s="810">
        <v>857</v>
      </c>
      <c r="G42" s="810">
        <v>707</v>
      </c>
      <c r="H42" s="810">
        <v>989</v>
      </c>
      <c r="I42" s="810">
        <v>930</v>
      </c>
      <c r="J42" s="810">
        <v>892</v>
      </c>
      <c r="K42" s="810">
        <v>835</v>
      </c>
      <c r="L42" s="810">
        <v>808</v>
      </c>
      <c r="M42" s="810">
        <v>975</v>
      </c>
      <c r="N42" s="810">
        <v>1013</v>
      </c>
      <c r="O42" s="810">
        <v>1015</v>
      </c>
      <c r="P42" s="810">
        <v>989</v>
      </c>
    </row>
    <row r="43" spans="1:16" ht="15.75">
      <c r="A43" s="675">
        <v>28</v>
      </c>
      <c r="B43" s="675" t="s">
        <v>1034</v>
      </c>
      <c r="C43" s="810">
        <v>1731</v>
      </c>
      <c r="D43" s="810">
        <v>1731</v>
      </c>
      <c r="E43" s="810">
        <v>1563</v>
      </c>
      <c r="F43" s="810">
        <v>1446</v>
      </c>
      <c r="G43" s="810">
        <v>1352</v>
      </c>
      <c r="H43" s="810">
        <v>1490</v>
      </c>
      <c r="I43" s="810">
        <v>1477</v>
      </c>
      <c r="J43" s="810">
        <v>1435</v>
      </c>
      <c r="K43" s="810">
        <v>1416</v>
      </c>
      <c r="L43" s="810">
        <v>1377</v>
      </c>
      <c r="M43" s="810">
        <v>1368</v>
      </c>
      <c r="N43" s="810">
        <v>1326</v>
      </c>
      <c r="O43" s="810">
        <v>1340</v>
      </c>
      <c r="P43" s="810">
        <v>1303</v>
      </c>
    </row>
    <row r="44" spans="1:16" ht="15.75">
      <c r="A44" s="675">
        <v>29</v>
      </c>
      <c r="B44" s="675" t="s">
        <v>1035</v>
      </c>
      <c r="C44" s="810">
        <v>1070</v>
      </c>
      <c r="D44" s="810">
        <v>1070</v>
      </c>
      <c r="E44" s="810">
        <v>892</v>
      </c>
      <c r="F44" s="810">
        <v>800</v>
      </c>
      <c r="G44" s="810">
        <v>699</v>
      </c>
      <c r="H44" s="810">
        <v>859</v>
      </c>
      <c r="I44" s="810">
        <v>833</v>
      </c>
      <c r="J44" s="810">
        <v>780</v>
      </c>
      <c r="K44" s="810">
        <v>710</v>
      </c>
      <c r="L44" s="810">
        <v>648</v>
      </c>
      <c r="M44" s="810">
        <v>678</v>
      </c>
      <c r="N44" s="810">
        <v>654</v>
      </c>
      <c r="O44" s="810">
        <v>709</v>
      </c>
      <c r="P44" s="810">
        <v>650</v>
      </c>
    </row>
    <row r="45" spans="1:16" ht="15.75">
      <c r="A45" s="675">
        <v>30</v>
      </c>
      <c r="B45" s="675" t="s">
        <v>1036</v>
      </c>
      <c r="C45" s="810">
        <v>1980</v>
      </c>
      <c r="D45" s="810">
        <v>1980</v>
      </c>
      <c r="E45" s="810">
        <v>1732</v>
      </c>
      <c r="F45" s="810">
        <v>1601</v>
      </c>
      <c r="G45" s="810">
        <v>1483</v>
      </c>
      <c r="H45" s="810">
        <v>1704</v>
      </c>
      <c r="I45" s="810">
        <v>1677</v>
      </c>
      <c r="J45" s="810">
        <v>1653</v>
      </c>
      <c r="K45" s="810">
        <v>1623</v>
      </c>
      <c r="L45" s="810">
        <v>1569</v>
      </c>
      <c r="M45" s="810">
        <v>1610</v>
      </c>
      <c r="N45" s="810">
        <v>1562</v>
      </c>
      <c r="O45" s="810">
        <v>1565</v>
      </c>
      <c r="P45" s="810">
        <v>1542</v>
      </c>
    </row>
    <row r="46" spans="1:16" ht="15.75">
      <c r="A46" s="675">
        <v>31</v>
      </c>
      <c r="B46" s="675" t="s">
        <v>1037</v>
      </c>
      <c r="C46" s="810">
        <v>930</v>
      </c>
      <c r="D46" s="810">
        <v>930</v>
      </c>
      <c r="E46" s="810">
        <v>823</v>
      </c>
      <c r="F46" s="810">
        <v>724</v>
      </c>
      <c r="G46" s="810">
        <v>637</v>
      </c>
      <c r="H46" s="810">
        <v>782</v>
      </c>
      <c r="I46" s="810">
        <v>767</v>
      </c>
      <c r="J46" s="810">
        <v>736</v>
      </c>
      <c r="K46" s="810">
        <v>721</v>
      </c>
      <c r="L46" s="810">
        <v>683</v>
      </c>
      <c r="M46" s="810">
        <v>708</v>
      </c>
      <c r="N46" s="810">
        <v>674</v>
      </c>
      <c r="O46" s="810">
        <v>679</v>
      </c>
      <c r="P46" s="810">
        <v>671</v>
      </c>
    </row>
    <row r="47" spans="1:16" ht="15.75">
      <c r="A47" s="675">
        <v>32</v>
      </c>
      <c r="B47" s="675" t="s">
        <v>1038</v>
      </c>
      <c r="C47" s="810">
        <v>1602</v>
      </c>
      <c r="D47" s="810">
        <v>1602</v>
      </c>
      <c r="E47" s="810">
        <v>1381</v>
      </c>
      <c r="F47" s="810">
        <v>1206</v>
      </c>
      <c r="G47" s="810">
        <v>1024</v>
      </c>
      <c r="H47" s="810">
        <v>1362</v>
      </c>
      <c r="I47" s="810">
        <v>1342</v>
      </c>
      <c r="J47" s="810">
        <v>1308</v>
      </c>
      <c r="K47" s="810">
        <v>1234</v>
      </c>
      <c r="L47" s="810">
        <v>1154</v>
      </c>
      <c r="M47" s="810">
        <v>1204</v>
      </c>
      <c r="N47" s="810">
        <v>1152</v>
      </c>
      <c r="O47" s="810">
        <v>1122</v>
      </c>
      <c r="P47" s="810">
        <v>1109</v>
      </c>
    </row>
    <row r="48" spans="1:16" ht="15.75">
      <c r="A48" s="675">
        <v>33</v>
      </c>
      <c r="B48" s="675" t="s">
        <v>1039</v>
      </c>
      <c r="C48" s="810">
        <v>3952</v>
      </c>
      <c r="D48" s="810">
        <v>3952</v>
      </c>
      <c r="E48" s="810">
        <v>3375</v>
      </c>
      <c r="F48" s="810">
        <v>2999</v>
      </c>
      <c r="G48" s="810">
        <v>2442</v>
      </c>
      <c r="H48" s="810">
        <v>3293</v>
      </c>
      <c r="I48" s="810">
        <v>3184</v>
      </c>
      <c r="J48" s="810">
        <v>2985</v>
      </c>
      <c r="K48" s="810">
        <v>2855</v>
      </c>
      <c r="L48" s="810">
        <v>2686</v>
      </c>
      <c r="M48" s="810">
        <v>2856</v>
      </c>
      <c r="N48" s="810">
        <v>2642</v>
      </c>
      <c r="O48" s="810">
        <v>2626</v>
      </c>
      <c r="P48" s="810">
        <v>2542</v>
      </c>
    </row>
    <row r="49" spans="1:16" ht="15.75">
      <c r="A49" s="676"/>
      <c r="B49" s="676" t="s">
        <v>982</v>
      </c>
      <c r="C49" s="811">
        <v>67231</v>
      </c>
      <c r="D49" s="811">
        <v>67231</v>
      </c>
      <c r="E49" s="811">
        <v>58782</v>
      </c>
      <c r="F49" s="811">
        <v>53890</v>
      </c>
      <c r="G49" s="811">
        <v>48775</v>
      </c>
      <c r="H49" s="811">
        <v>57191</v>
      </c>
      <c r="I49" s="811">
        <v>56116</v>
      </c>
      <c r="J49" s="811">
        <v>55086</v>
      </c>
      <c r="K49" s="811">
        <v>53725</v>
      </c>
      <c r="L49" s="811">
        <v>51919</v>
      </c>
      <c r="M49" s="811">
        <v>52931</v>
      </c>
      <c r="N49" s="811">
        <v>52230</v>
      </c>
      <c r="O49" s="811">
        <v>52608</v>
      </c>
      <c r="P49" s="811">
        <v>53032</v>
      </c>
    </row>
    <row r="52" spans="1:16">
      <c r="H52" s="917" t="s">
        <v>13</v>
      </c>
      <c r="I52" s="917"/>
      <c r="J52" s="917"/>
      <c r="K52" s="917"/>
      <c r="L52" s="917"/>
      <c r="M52" s="917"/>
    </row>
    <row r="53" spans="1:16">
      <c r="H53" s="917" t="s">
        <v>14</v>
      </c>
      <c r="I53" s="917"/>
      <c r="J53" s="917"/>
      <c r="K53" s="917"/>
      <c r="L53" s="917"/>
      <c r="M53" s="917"/>
    </row>
    <row r="54" spans="1:16">
      <c r="H54" s="917" t="s">
        <v>90</v>
      </c>
      <c r="I54" s="917"/>
      <c r="J54" s="917"/>
      <c r="K54" s="917"/>
      <c r="L54" s="917"/>
      <c r="M54" s="917"/>
    </row>
    <row r="55" spans="1:16">
      <c r="A55" s="224" t="s">
        <v>12</v>
      </c>
      <c r="H55" s="918" t="s">
        <v>87</v>
      </c>
      <c r="I55" s="918"/>
      <c r="J55" s="918"/>
      <c r="K55" s="918"/>
    </row>
  </sheetData>
  <mergeCells count="17">
    <mergeCell ref="H54:M54"/>
    <mergeCell ref="H55:K55"/>
    <mergeCell ref="H52:M52"/>
    <mergeCell ref="A9:F9"/>
    <mergeCell ref="A10:F10"/>
    <mergeCell ref="H53:M53"/>
    <mergeCell ref="L1:M1"/>
    <mergeCell ref="H1:I1"/>
    <mergeCell ref="A3:M3"/>
    <mergeCell ref="A4:M4"/>
    <mergeCell ref="A13:A14"/>
    <mergeCell ref="B13:B14"/>
    <mergeCell ref="C13:C14"/>
    <mergeCell ref="D13:D14"/>
    <mergeCell ref="C2:J2"/>
    <mergeCell ref="E13:P13"/>
    <mergeCell ref="K12:P12"/>
  </mergeCells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P49"/>
  <sheetViews>
    <sheetView view="pageBreakPreview" topLeftCell="A13" zoomScale="80" zoomScaleNormal="80" zoomScaleSheetLayoutView="80" workbookViewId="0">
      <selection activeCell="G37" sqref="G37"/>
    </sheetView>
  </sheetViews>
  <sheetFormatPr defaultRowHeight="12.75"/>
  <cols>
    <col min="2" max="2" width="14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>
      <c r="C1" s="919" t="s">
        <v>0</v>
      </c>
      <c r="D1" s="919"/>
      <c r="E1" s="919"/>
      <c r="F1" s="919"/>
      <c r="G1" s="919"/>
      <c r="H1" s="919"/>
      <c r="I1" s="919"/>
      <c r="J1" s="249"/>
      <c r="K1" s="249"/>
      <c r="L1" s="1064" t="s">
        <v>533</v>
      </c>
      <c r="M1" s="1064"/>
      <c r="N1" s="249"/>
      <c r="O1" s="249"/>
      <c r="P1" s="249"/>
    </row>
    <row r="2" spans="1:16" ht="21">
      <c r="B2" s="920" t="s">
        <v>705</v>
      </c>
      <c r="C2" s="920"/>
      <c r="D2" s="920"/>
      <c r="E2" s="920"/>
      <c r="F2" s="920"/>
      <c r="G2" s="920"/>
      <c r="H2" s="920"/>
      <c r="I2" s="920"/>
      <c r="J2" s="920"/>
      <c r="K2" s="920"/>
      <c r="L2" s="920"/>
      <c r="M2" s="250"/>
      <c r="N2" s="250"/>
      <c r="O2" s="250"/>
      <c r="P2" s="250"/>
    </row>
    <row r="3" spans="1:16" ht="21"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50"/>
      <c r="O3" s="250"/>
      <c r="P3" s="250"/>
    </row>
    <row r="4" spans="1:16" ht="20.25" customHeight="1">
      <c r="A4" s="1077" t="s">
        <v>532</v>
      </c>
      <c r="B4" s="1077"/>
      <c r="C4" s="1077"/>
      <c r="D4" s="1077"/>
      <c r="E4" s="1077"/>
      <c r="F4" s="1077"/>
      <c r="G4" s="1077"/>
      <c r="H4" s="1077"/>
      <c r="I4" s="1077"/>
      <c r="J4" s="1077"/>
      <c r="K4" s="1077"/>
      <c r="L4" s="1077"/>
      <c r="M4" s="1077"/>
    </row>
    <row r="5" spans="1:16" ht="20.25" customHeight="1">
      <c r="A5" s="1078" t="s">
        <v>976</v>
      </c>
      <c r="B5" s="1078"/>
      <c r="C5" s="1078"/>
      <c r="D5" s="1078"/>
      <c r="E5" s="1078"/>
      <c r="F5" s="1078"/>
      <c r="G5" s="1078"/>
      <c r="H5" s="922" t="s">
        <v>784</v>
      </c>
      <c r="I5" s="922"/>
      <c r="J5" s="922"/>
      <c r="K5" s="922"/>
      <c r="L5" s="922"/>
      <c r="M5" s="922"/>
      <c r="N5" s="107"/>
    </row>
    <row r="6" spans="1:16" ht="15" customHeight="1">
      <c r="A6" s="1006" t="s">
        <v>77</v>
      </c>
      <c r="B6" s="1006" t="s">
        <v>294</v>
      </c>
      <c r="C6" s="1079" t="s">
        <v>424</v>
      </c>
      <c r="D6" s="1080"/>
      <c r="E6" s="1080"/>
      <c r="F6" s="1080"/>
      <c r="G6" s="1081"/>
      <c r="H6" s="1004" t="s">
        <v>421</v>
      </c>
      <c r="I6" s="1004"/>
      <c r="J6" s="1004"/>
      <c r="K6" s="1004"/>
      <c r="L6" s="1004"/>
      <c r="M6" s="1006" t="s">
        <v>295</v>
      </c>
    </row>
    <row r="7" spans="1:16" ht="12.75" customHeight="1">
      <c r="A7" s="1007"/>
      <c r="B7" s="1007"/>
      <c r="C7" s="1082"/>
      <c r="D7" s="1083"/>
      <c r="E7" s="1083"/>
      <c r="F7" s="1083"/>
      <c r="G7" s="1084"/>
      <c r="H7" s="1004"/>
      <c r="I7" s="1004"/>
      <c r="J7" s="1004"/>
      <c r="K7" s="1004"/>
      <c r="L7" s="1004"/>
      <c r="M7" s="1007"/>
    </row>
    <row r="8" spans="1:16" ht="5.25" customHeight="1">
      <c r="A8" s="1007"/>
      <c r="B8" s="1007"/>
      <c r="C8" s="1082"/>
      <c r="D8" s="1083"/>
      <c r="E8" s="1083"/>
      <c r="F8" s="1083"/>
      <c r="G8" s="1084"/>
      <c r="H8" s="1004"/>
      <c r="I8" s="1004"/>
      <c r="J8" s="1004"/>
      <c r="K8" s="1004"/>
      <c r="L8" s="1004"/>
      <c r="M8" s="1007"/>
    </row>
    <row r="9" spans="1:16" ht="68.25" customHeight="1">
      <c r="A9" s="1008"/>
      <c r="B9" s="1008"/>
      <c r="C9" s="255" t="s">
        <v>296</v>
      </c>
      <c r="D9" s="255" t="s">
        <v>297</v>
      </c>
      <c r="E9" s="255" t="s">
        <v>298</v>
      </c>
      <c r="F9" s="255" t="s">
        <v>299</v>
      </c>
      <c r="G9" s="285" t="s">
        <v>300</v>
      </c>
      <c r="H9" s="284" t="s">
        <v>420</v>
      </c>
      <c r="I9" s="284" t="s">
        <v>425</v>
      </c>
      <c r="J9" s="284" t="s">
        <v>422</v>
      </c>
      <c r="K9" s="284" t="s">
        <v>423</v>
      </c>
      <c r="L9" s="284" t="s">
        <v>50</v>
      </c>
      <c r="M9" s="1008"/>
    </row>
    <row r="10" spans="1:16" ht="15">
      <c r="A10" s="256">
        <v>1</v>
      </c>
      <c r="B10" s="256">
        <v>2</v>
      </c>
      <c r="C10" s="256">
        <v>3</v>
      </c>
      <c r="D10" s="256">
        <v>4</v>
      </c>
      <c r="E10" s="256">
        <v>5</v>
      </c>
      <c r="F10" s="256">
        <v>6</v>
      </c>
      <c r="G10" s="256">
        <v>7</v>
      </c>
      <c r="H10" s="256">
        <v>8</v>
      </c>
      <c r="I10" s="256">
        <v>9</v>
      </c>
      <c r="J10" s="256">
        <v>10</v>
      </c>
      <c r="K10" s="256">
        <v>11</v>
      </c>
      <c r="L10" s="256">
        <v>12</v>
      </c>
      <c r="M10" s="256">
        <v>13</v>
      </c>
    </row>
    <row r="11" spans="1:16" ht="15">
      <c r="A11" s="457">
        <v>1</v>
      </c>
      <c r="B11" s="385" t="s">
        <v>889</v>
      </c>
      <c r="C11" s="8"/>
      <c r="D11" s="319"/>
      <c r="E11" s="319"/>
      <c r="F11" s="319"/>
      <c r="G11" s="319"/>
      <c r="H11" s="319"/>
      <c r="I11" s="319"/>
      <c r="J11" s="319"/>
      <c r="K11" s="319"/>
      <c r="L11" s="319"/>
      <c r="M11" s="319"/>
    </row>
    <row r="12" spans="1:16" ht="15">
      <c r="A12" s="457">
        <v>2</v>
      </c>
      <c r="B12" s="385" t="s">
        <v>890</v>
      </c>
      <c r="C12" s="8"/>
      <c r="D12" s="319"/>
      <c r="E12" s="319"/>
      <c r="F12" s="319"/>
      <c r="G12" s="319"/>
      <c r="H12" s="319"/>
      <c r="I12" s="319"/>
      <c r="J12" s="319"/>
      <c r="K12" s="319"/>
      <c r="L12" s="319"/>
      <c r="M12" s="319"/>
    </row>
    <row r="13" spans="1:16" ht="15">
      <c r="A13" s="457">
        <v>3</v>
      </c>
      <c r="B13" s="385" t="s">
        <v>891</v>
      </c>
      <c r="C13" s="8"/>
      <c r="D13" s="319"/>
      <c r="E13" s="319"/>
      <c r="F13" s="319"/>
      <c r="G13" s="319"/>
      <c r="H13" s="319"/>
      <c r="I13" s="319"/>
      <c r="J13" s="319"/>
      <c r="K13" s="319"/>
      <c r="L13" s="319"/>
      <c r="M13" s="319"/>
    </row>
    <row r="14" spans="1:16" ht="15">
      <c r="A14" s="457">
        <v>4</v>
      </c>
      <c r="B14" s="385" t="s">
        <v>892</v>
      </c>
      <c r="C14" s="8"/>
      <c r="D14" s="319"/>
      <c r="E14" s="319"/>
      <c r="F14" s="319"/>
      <c r="G14" s="319"/>
      <c r="H14" s="319"/>
      <c r="I14" s="319"/>
      <c r="J14" s="319"/>
      <c r="K14" s="319"/>
      <c r="L14" s="319"/>
      <c r="M14" s="319"/>
    </row>
    <row r="15" spans="1:16" ht="15">
      <c r="A15" s="457">
        <v>5</v>
      </c>
      <c r="B15" s="385" t="s">
        <v>893</v>
      </c>
      <c r="C15" s="8"/>
      <c r="D15" s="319"/>
      <c r="E15" s="319"/>
      <c r="F15" s="319"/>
      <c r="G15" s="319"/>
      <c r="H15" s="319"/>
      <c r="I15" s="319"/>
      <c r="J15" s="319"/>
      <c r="K15" s="319"/>
      <c r="L15" s="319"/>
      <c r="M15" s="319"/>
    </row>
    <row r="16" spans="1:16" ht="15">
      <c r="A16" s="457">
        <v>6</v>
      </c>
      <c r="B16" s="385" t="s">
        <v>894</v>
      </c>
      <c r="C16" s="8"/>
      <c r="D16" s="319"/>
      <c r="E16" s="319"/>
      <c r="F16" s="319"/>
      <c r="G16" s="319"/>
      <c r="H16" s="319"/>
      <c r="I16" s="319"/>
      <c r="J16" s="319"/>
      <c r="K16" s="319"/>
      <c r="L16" s="319"/>
      <c r="M16" s="319"/>
    </row>
    <row r="17" spans="1:13" ht="15">
      <c r="A17" s="457">
        <v>7</v>
      </c>
      <c r="B17" s="385" t="s">
        <v>895</v>
      </c>
      <c r="C17" s="8"/>
      <c r="D17" s="319"/>
      <c r="E17" s="319"/>
      <c r="F17" s="319"/>
      <c r="G17" s="319"/>
      <c r="H17" s="319"/>
      <c r="I17" s="319"/>
      <c r="J17" s="319"/>
      <c r="K17" s="319"/>
      <c r="L17" s="319"/>
      <c r="M17" s="319"/>
    </row>
    <row r="18" spans="1:13" ht="15">
      <c r="A18" s="457">
        <v>8</v>
      </c>
      <c r="B18" s="385" t="s">
        <v>896</v>
      </c>
      <c r="C18" s="8"/>
      <c r="D18" s="319"/>
      <c r="E18" s="319"/>
      <c r="F18" s="319"/>
      <c r="G18" s="319"/>
      <c r="H18" s="319"/>
      <c r="I18" s="319"/>
      <c r="J18" s="319"/>
      <c r="K18" s="319"/>
      <c r="L18" s="319"/>
      <c r="M18" s="319"/>
    </row>
    <row r="19" spans="1:13" ht="14.25">
      <c r="A19" s="457">
        <v>9</v>
      </c>
      <c r="B19" s="385" t="s">
        <v>897</v>
      </c>
      <c r="C19" s="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3" ht="14.25">
      <c r="A20" s="457">
        <v>10</v>
      </c>
      <c r="B20" s="385" t="s">
        <v>898</v>
      </c>
      <c r="C20" s="8"/>
      <c r="D20" s="259"/>
      <c r="E20" s="259"/>
      <c r="F20" s="259"/>
      <c r="G20" s="259"/>
      <c r="H20" s="259"/>
      <c r="I20" s="259"/>
      <c r="J20" s="259"/>
      <c r="K20" s="259"/>
      <c r="L20" s="259"/>
      <c r="M20" s="259"/>
    </row>
    <row r="21" spans="1:13" ht="14.25">
      <c r="A21" s="457">
        <v>11</v>
      </c>
      <c r="B21" s="385" t="s">
        <v>899</v>
      </c>
      <c r="C21" s="8"/>
      <c r="D21" s="259"/>
      <c r="E21" s="259"/>
      <c r="F21" s="259"/>
      <c r="G21" s="259"/>
      <c r="H21" s="259"/>
      <c r="I21" s="259"/>
      <c r="J21" s="259"/>
      <c r="K21" s="259"/>
      <c r="L21" s="259"/>
      <c r="M21" s="259"/>
    </row>
    <row r="22" spans="1:13" ht="14.25">
      <c r="A22" s="457">
        <v>12</v>
      </c>
      <c r="B22" s="385" t="s">
        <v>900</v>
      </c>
      <c r="C22" s="8"/>
      <c r="D22" s="259"/>
      <c r="E22" s="259"/>
      <c r="F22" s="259"/>
      <c r="G22" s="259"/>
      <c r="H22" s="259"/>
      <c r="I22" s="259"/>
      <c r="J22" s="259"/>
      <c r="K22" s="259"/>
      <c r="L22" s="259"/>
      <c r="M22" s="259"/>
    </row>
    <row r="23" spans="1:13" ht="14.25">
      <c r="A23" s="457">
        <v>13</v>
      </c>
      <c r="B23" s="385" t="s">
        <v>901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457">
        <v>14</v>
      </c>
      <c r="B24" s="385" t="s">
        <v>902</v>
      </c>
      <c r="C24" s="178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4.25">
      <c r="A25" s="457">
        <v>15</v>
      </c>
      <c r="B25" s="385" t="s">
        <v>903</v>
      </c>
      <c r="C25" s="178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4.25">
      <c r="A26" s="457">
        <v>16</v>
      </c>
      <c r="B26" s="385" t="s">
        <v>904</v>
      </c>
      <c r="C26" s="178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4.25">
      <c r="A27" s="457">
        <v>17</v>
      </c>
      <c r="B27" s="385" t="s">
        <v>905</v>
      </c>
      <c r="C27" s="178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>
      <c r="A28" s="457">
        <v>18</v>
      </c>
      <c r="B28" s="385" t="s">
        <v>906</v>
      </c>
      <c r="C28" s="178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4.25">
      <c r="A29" s="457">
        <v>19</v>
      </c>
      <c r="B29" s="385" t="s">
        <v>907</v>
      </c>
      <c r="C29" s="178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4.25">
      <c r="A30" s="457">
        <v>20</v>
      </c>
      <c r="B30" s="385" t="s">
        <v>908</v>
      </c>
      <c r="C30" s="178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4.25">
      <c r="A31" s="457">
        <v>21</v>
      </c>
      <c r="B31" s="385" t="s">
        <v>909</v>
      </c>
      <c r="C31" s="178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4.25">
      <c r="A32" s="457">
        <v>22</v>
      </c>
      <c r="B32" s="385" t="s">
        <v>910</v>
      </c>
      <c r="C32" s="178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4.25">
      <c r="A33" s="457">
        <v>23</v>
      </c>
      <c r="B33" s="385" t="s">
        <v>911</v>
      </c>
      <c r="C33" s="178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4.25">
      <c r="A34" s="457">
        <v>24</v>
      </c>
      <c r="B34" s="385" t="s">
        <v>912</v>
      </c>
      <c r="C34" s="178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4.25">
      <c r="A35" s="457">
        <v>25</v>
      </c>
      <c r="B35" s="385" t="s">
        <v>913</v>
      </c>
      <c r="C35" s="178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4.25">
      <c r="A36" s="457">
        <v>26</v>
      </c>
      <c r="B36" s="385" t="s">
        <v>914</v>
      </c>
      <c r="C36" s="178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25">
      <c r="A37" s="457">
        <v>27</v>
      </c>
      <c r="B37" s="385" t="s">
        <v>915</v>
      </c>
      <c r="C37" s="178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25">
      <c r="A38" s="457">
        <v>28</v>
      </c>
      <c r="B38" s="385" t="s">
        <v>916</v>
      </c>
      <c r="C38" s="178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4.25">
      <c r="A39" s="457">
        <v>29</v>
      </c>
      <c r="B39" s="385" t="s">
        <v>917</v>
      </c>
      <c r="C39" s="178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25">
      <c r="A40" s="457">
        <v>30</v>
      </c>
      <c r="B40" s="385" t="s">
        <v>918</v>
      </c>
      <c r="C40" s="178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4.25">
      <c r="A41" s="457">
        <v>31</v>
      </c>
      <c r="B41" s="385" t="s">
        <v>919</v>
      </c>
      <c r="C41" s="178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4.25">
      <c r="A42" s="457">
        <v>32</v>
      </c>
      <c r="B42" s="385" t="s">
        <v>920</v>
      </c>
      <c r="C42" s="178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>
      <c r="A43" s="30" t="s">
        <v>19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6.5" customHeight="1">
      <c r="B44" s="260"/>
      <c r="C44" s="1076"/>
      <c r="D44" s="1076"/>
      <c r="E44" s="1076"/>
      <c r="F44" s="1076"/>
    </row>
    <row r="46" spans="1:13">
      <c r="A46" s="224"/>
      <c r="B46" s="224"/>
      <c r="C46" s="224"/>
      <c r="D46" s="224"/>
      <c r="G46" s="917" t="s">
        <v>13</v>
      </c>
      <c r="H46" s="917"/>
      <c r="I46" s="225"/>
      <c r="J46" s="225"/>
      <c r="K46" s="225"/>
      <c r="L46" s="225"/>
    </row>
    <row r="47" spans="1:13" ht="15" customHeight="1">
      <c r="A47" s="224"/>
      <c r="B47" s="224"/>
      <c r="C47" s="224"/>
      <c r="D47" s="224"/>
      <c r="G47" s="917" t="s">
        <v>14</v>
      </c>
      <c r="H47" s="917"/>
      <c r="I47" s="917"/>
      <c r="J47" s="917"/>
      <c r="K47" s="917"/>
      <c r="L47" s="917"/>
      <c r="M47" s="917"/>
    </row>
    <row r="48" spans="1:13" ht="15" customHeight="1">
      <c r="A48" s="224"/>
      <c r="B48" s="224"/>
      <c r="C48" s="224"/>
      <c r="D48" s="224"/>
      <c r="G48" s="917" t="s">
        <v>90</v>
      </c>
      <c r="H48" s="917"/>
      <c r="I48" s="917"/>
      <c r="J48" s="917"/>
      <c r="K48" s="917"/>
      <c r="L48" s="917"/>
      <c r="M48" s="917"/>
    </row>
    <row r="49" spans="1:12">
      <c r="A49" s="224" t="s">
        <v>12</v>
      </c>
      <c r="C49" s="224"/>
      <c r="D49" s="224"/>
      <c r="G49" s="918" t="s">
        <v>87</v>
      </c>
      <c r="H49" s="918"/>
      <c r="I49" s="226"/>
      <c r="J49" s="226"/>
      <c r="K49" s="226"/>
      <c r="L49" s="226"/>
    </row>
  </sheetData>
  <mergeCells count="16">
    <mergeCell ref="B2:L2"/>
    <mergeCell ref="L1:M1"/>
    <mergeCell ref="C1:I1"/>
    <mergeCell ref="G49:H49"/>
    <mergeCell ref="C44:F44"/>
    <mergeCell ref="G46:H46"/>
    <mergeCell ref="H6:L8"/>
    <mergeCell ref="H5:M5"/>
    <mergeCell ref="A4:M4"/>
    <mergeCell ref="A5:G5"/>
    <mergeCell ref="G47:M47"/>
    <mergeCell ref="G48:M48"/>
    <mergeCell ref="M6:M9"/>
    <mergeCell ref="A6:A9"/>
    <mergeCell ref="B6:B9"/>
    <mergeCell ref="C6:G8"/>
  </mergeCells>
  <printOptions horizontalCentered="1"/>
  <pageMargins left="0.70866141732283472" right="0.70866141732283472" top="0.23622047244094491" bottom="0" header="0.31496062992125984" footer="0.31496062992125984"/>
  <pageSetup paperSize="9" scale="75" orientation="landscape" r:id="rId1"/>
  <colBreaks count="1" manualBreakCount="1">
    <brk id="13" max="1048575" man="1"/>
  </col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L46"/>
  <sheetViews>
    <sheetView view="pageBreakPreview" topLeftCell="A19" zoomScale="89" zoomScaleSheetLayoutView="89" workbookViewId="0">
      <selection activeCell="G37" sqref="G37"/>
    </sheetView>
  </sheetViews>
  <sheetFormatPr defaultRowHeight="12.75"/>
  <cols>
    <col min="1" max="1" width="40.85546875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>
      <c r="A1" s="919" t="s">
        <v>0</v>
      </c>
      <c r="B1" s="919"/>
      <c r="C1" s="919"/>
      <c r="D1" s="919"/>
      <c r="E1" s="919"/>
      <c r="F1" s="261" t="s">
        <v>535</v>
      </c>
      <c r="G1" s="249"/>
      <c r="H1" s="249"/>
      <c r="I1" s="249"/>
      <c r="J1" s="249"/>
      <c r="K1" s="249"/>
      <c r="L1" s="249"/>
    </row>
    <row r="2" spans="1:12" ht="21">
      <c r="A2" s="920" t="s">
        <v>705</v>
      </c>
      <c r="B2" s="920"/>
      <c r="C2" s="920"/>
      <c r="D2" s="920"/>
      <c r="E2" s="920"/>
      <c r="F2" s="920"/>
      <c r="G2" s="250"/>
      <c r="H2" s="250"/>
      <c r="I2" s="250"/>
      <c r="J2" s="250"/>
      <c r="K2" s="250"/>
      <c r="L2" s="250"/>
    </row>
    <row r="3" spans="1:12">
      <c r="A3" s="172"/>
      <c r="B3" s="172"/>
      <c r="C3" s="172"/>
      <c r="D3" s="172"/>
      <c r="E3" s="172"/>
      <c r="F3" s="172"/>
    </row>
    <row r="4" spans="1:12" ht="18.75">
      <c r="A4" s="1085" t="s">
        <v>534</v>
      </c>
      <c r="B4" s="1085"/>
      <c r="C4" s="1085"/>
      <c r="D4" s="1085"/>
      <c r="E4" s="1085"/>
      <c r="F4" s="1085"/>
      <c r="G4" s="1085"/>
    </row>
    <row r="5" spans="1:12" ht="18.75">
      <c r="A5" s="218" t="s">
        <v>922</v>
      </c>
      <c r="B5" s="262"/>
      <c r="C5" s="262"/>
      <c r="D5" s="262"/>
      <c r="E5" s="262"/>
      <c r="F5" s="262"/>
      <c r="G5" s="262"/>
    </row>
    <row r="6" spans="1:12" ht="31.5">
      <c r="A6" s="263"/>
      <c r="B6" s="264" t="s">
        <v>324</v>
      </c>
      <c r="C6" s="264" t="s">
        <v>325</v>
      </c>
      <c r="D6" s="264" t="s">
        <v>326</v>
      </c>
      <c r="E6" s="265"/>
      <c r="F6" s="265"/>
    </row>
    <row r="7" spans="1:12" ht="25.5">
      <c r="A7" s="356" t="s">
        <v>327</v>
      </c>
      <c r="B7" s="484" t="s">
        <v>966</v>
      </c>
      <c r="C7" s="484" t="s">
        <v>973</v>
      </c>
      <c r="D7" s="484" t="s">
        <v>972</v>
      </c>
      <c r="E7" s="265"/>
      <c r="F7" s="265"/>
    </row>
    <row r="8" spans="1:12" ht="13.5" customHeight="1">
      <c r="A8" s="266" t="s">
        <v>328</v>
      </c>
      <c r="B8" s="484" t="s">
        <v>967</v>
      </c>
      <c r="C8" s="484" t="s">
        <v>973</v>
      </c>
      <c r="D8" s="484" t="s">
        <v>974</v>
      </c>
      <c r="E8" s="265"/>
      <c r="F8" s="265"/>
    </row>
    <row r="9" spans="1:12" ht="13.5" customHeight="1">
      <c r="A9" s="266" t="s">
        <v>329</v>
      </c>
      <c r="B9" s="484" t="s">
        <v>968</v>
      </c>
      <c r="C9" s="484" t="s">
        <v>968</v>
      </c>
      <c r="D9" s="484" t="s">
        <v>968</v>
      </c>
      <c r="E9" s="265"/>
      <c r="F9" s="265"/>
    </row>
    <row r="10" spans="1:12" ht="13.5" customHeight="1">
      <c r="A10" s="267" t="s">
        <v>330</v>
      </c>
      <c r="B10" s="484" t="s">
        <v>969</v>
      </c>
      <c r="C10" s="484" t="s">
        <v>969</v>
      </c>
      <c r="D10" s="484" t="s">
        <v>969</v>
      </c>
      <c r="E10" s="265"/>
      <c r="F10" s="265"/>
    </row>
    <row r="11" spans="1:12" ht="29.25" customHeight="1">
      <c r="A11" s="267" t="s">
        <v>331</v>
      </c>
      <c r="B11" s="484" t="s">
        <v>975</v>
      </c>
      <c r="C11" s="484" t="s">
        <v>970</v>
      </c>
      <c r="D11" s="484" t="s">
        <v>970</v>
      </c>
      <c r="E11" s="265"/>
      <c r="F11" s="265"/>
    </row>
    <row r="12" spans="1:12" ht="13.5" customHeight="1">
      <c r="A12" s="267" t="s">
        <v>332</v>
      </c>
      <c r="B12" s="484" t="s">
        <v>969</v>
      </c>
      <c r="C12" s="484" t="s">
        <v>969</v>
      </c>
      <c r="D12" s="484" t="s">
        <v>969</v>
      </c>
      <c r="E12" s="265"/>
      <c r="F12" s="265"/>
    </row>
    <row r="13" spans="1:12" ht="13.5" customHeight="1">
      <c r="A13" s="267" t="s">
        <v>333</v>
      </c>
      <c r="B13" s="484" t="s">
        <v>971</v>
      </c>
      <c r="C13" s="484" t="s">
        <v>970</v>
      </c>
      <c r="D13" s="484" t="s">
        <v>970</v>
      </c>
      <c r="E13" s="265"/>
      <c r="F13" s="265"/>
    </row>
    <row r="14" spans="1:12" ht="13.5" customHeight="1">
      <c r="A14" s="267" t="s">
        <v>334</v>
      </c>
      <c r="B14" s="484" t="s">
        <v>969</v>
      </c>
      <c r="C14" s="484" t="s">
        <v>969</v>
      </c>
      <c r="D14" s="484" t="s">
        <v>969</v>
      </c>
      <c r="E14" s="265"/>
      <c r="F14" s="265"/>
    </row>
    <row r="15" spans="1:12" ht="13.5" customHeight="1">
      <c r="A15" s="267" t="s">
        <v>335</v>
      </c>
      <c r="B15" s="484" t="s">
        <v>970</v>
      </c>
      <c r="C15" s="484" t="s">
        <v>969</v>
      </c>
      <c r="D15" s="484" t="s">
        <v>969</v>
      </c>
      <c r="E15" s="265"/>
      <c r="F15" s="265"/>
    </row>
    <row r="16" spans="1:12" ht="13.5" customHeight="1">
      <c r="A16" s="267" t="s">
        <v>336</v>
      </c>
      <c r="B16" s="484" t="s">
        <v>969</v>
      </c>
      <c r="C16" s="484" t="s">
        <v>969</v>
      </c>
      <c r="D16" s="484" t="s">
        <v>969</v>
      </c>
      <c r="E16" s="265"/>
      <c r="F16" s="265"/>
    </row>
    <row r="17" spans="1:7" ht="13.5" customHeight="1">
      <c r="A17" s="267" t="s">
        <v>337</v>
      </c>
      <c r="B17" s="484" t="s">
        <v>970</v>
      </c>
      <c r="C17" s="484" t="s">
        <v>970</v>
      </c>
      <c r="D17" s="484" t="s">
        <v>970</v>
      </c>
      <c r="E17" s="265"/>
      <c r="F17" s="265"/>
    </row>
    <row r="18" spans="1:7" ht="13.5" customHeight="1">
      <c r="A18" s="268"/>
      <c r="B18" s="269"/>
      <c r="C18" s="269"/>
      <c r="D18" s="269"/>
      <c r="E18" s="265"/>
      <c r="F18" s="265"/>
    </row>
    <row r="19" spans="1:7" ht="13.5" customHeight="1">
      <c r="A19" s="1086" t="s">
        <v>338</v>
      </c>
      <c r="B19" s="1086"/>
      <c r="C19" s="1086"/>
      <c r="D19" s="1086"/>
      <c r="E19" s="1086"/>
      <c r="F19" s="1086"/>
      <c r="G19" s="1086"/>
    </row>
    <row r="20" spans="1:7" ht="15">
      <c r="A20" s="265"/>
      <c r="B20" s="265"/>
      <c r="C20" s="265"/>
      <c r="D20" s="265"/>
      <c r="E20" s="941" t="s">
        <v>784</v>
      </c>
      <c r="F20" s="941"/>
      <c r="G20" s="120"/>
    </row>
    <row r="21" spans="1:7" ht="46.15" customHeight="1">
      <c r="A21" s="253" t="s">
        <v>427</v>
      </c>
      <c r="B21" s="253" t="s">
        <v>3</v>
      </c>
      <c r="C21" s="270" t="s">
        <v>339</v>
      </c>
      <c r="D21" s="271" t="s">
        <v>340</v>
      </c>
      <c r="E21" s="328" t="s">
        <v>341</v>
      </c>
      <c r="F21" s="328" t="s">
        <v>342</v>
      </c>
      <c r="G21" s="12"/>
    </row>
    <row r="22" spans="1:7" ht="15">
      <c r="A22" s="266" t="s">
        <v>343</v>
      </c>
      <c r="B22" s="266"/>
      <c r="C22" s="266"/>
      <c r="D22" s="272"/>
      <c r="E22" s="273"/>
      <c r="F22" s="273"/>
    </row>
    <row r="23" spans="1:7" ht="15">
      <c r="A23" s="266" t="s">
        <v>344</v>
      </c>
      <c r="B23" s="266"/>
      <c r="C23" s="266"/>
      <c r="D23" s="272"/>
      <c r="E23" s="273"/>
      <c r="F23" s="273"/>
    </row>
    <row r="24" spans="1:7" ht="15">
      <c r="A24" s="266" t="s">
        <v>345</v>
      </c>
      <c r="B24" s="266"/>
      <c r="C24" s="9"/>
      <c r="D24" s="272"/>
      <c r="E24" s="273"/>
      <c r="F24" s="273"/>
    </row>
    <row r="25" spans="1:7" ht="25.5">
      <c r="A25" s="266" t="s">
        <v>346</v>
      </c>
      <c r="B25" s="266"/>
      <c r="C25" s="9"/>
      <c r="D25" s="272"/>
      <c r="E25" s="273"/>
      <c r="F25" s="273"/>
    </row>
    <row r="26" spans="1:7" ht="32.25" customHeight="1">
      <c r="A26" s="266" t="s">
        <v>347</v>
      </c>
      <c r="B26" s="266"/>
      <c r="C26" s="9"/>
      <c r="D26" s="272"/>
      <c r="E26" s="273"/>
      <c r="F26" s="273"/>
    </row>
    <row r="27" spans="1:7" ht="15">
      <c r="A27" s="266" t="s">
        <v>348</v>
      </c>
      <c r="B27" s="266"/>
      <c r="C27" s="9"/>
      <c r="D27" s="272"/>
      <c r="E27" s="273"/>
      <c r="F27" s="273"/>
    </row>
    <row r="28" spans="1:7" ht="15">
      <c r="A28" s="266" t="s">
        <v>349</v>
      </c>
      <c r="B28" s="266"/>
      <c r="C28" s="9"/>
      <c r="D28" s="272"/>
      <c r="E28" s="273"/>
      <c r="F28" s="273"/>
    </row>
    <row r="29" spans="1:7" ht="15">
      <c r="A29" s="266" t="s">
        <v>350</v>
      </c>
      <c r="B29" s="266"/>
      <c r="C29" s="266"/>
      <c r="D29" s="272"/>
      <c r="E29" s="273"/>
      <c r="F29" s="273"/>
    </row>
    <row r="30" spans="1:7" ht="15">
      <c r="A30" s="266" t="s">
        <v>351</v>
      </c>
      <c r="B30" s="266"/>
      <c r="C30" s="266"/>
      <c r="D30" s="272"/>
      <c r="E30" s="273"/>
      <c r="F30" s="273"/>
    </row>
    <row r="31" spans="1:7" ht="15">
      <c r="A31" s="266" t="s">
        <v>352</v>
      </c>
      <c r="B31" s="266"/>
      <c r="C31" s="266"/>
      <c r="D31" s="272"/>
      <c r="E31" s="273"/>
      <c r="F31" s="273"/>
    </row>
    <row r="32" spans="1:7" ht="15">
      <c r="A32" s="266" t="s">
        <v>353</v>
      </c>
      <c r="B32" s="266"/>
      <c r="C32" s="266"/>
      <c r="D32" s="272"/>
      <c r="E32" s="273"/>
      <c r="F32" s="273"/>
    </row>
    <row r="33" spans="1:7" ht="15">
      <c r="A33" s="266" t="s">
        <v>354</v>
      </c>
      <c r="B33" s="266"/>
      <c r="C33" s="266"/>
      <c r="D33" s="272"/>
      <c r="E33" s="273"/>
      <c r="F33" s="273"/>
    </row>
    <row r="34" spans="1:7" ht="15">
      <c r="A34" s="266" t="s">
        <v>355</v>
      </c>
      <c r="B34" s="266"/>
      <c r="C34" s="266"/>
      <c r="D34" s="272"/>
      <c r="E34" s="273"/>
      <c r="F34" s="273"/>
    </row>
    <row r="35" spans="1:7" ht="15">
      <c r="A35" s="266" t="s">
        <v>356</v>
      </c>
      <c r="B35" s="266"/>
      <c r="C35" s="266"/>
      <c r="D35" s="272"/>
      <c r="E35" s="273"/>
      <c r="F35" s="273"/>
    </row>
    <row r="36" spans="1:7" ht="15">
      <c r="A36" s="266" t="s">
        <v>357</v>
      </c>
      <c r="B36" s="266"/>
      <c r="C36" s="266"/>
      <c r="D36" s="272"/>
      <c r="E36" s="273"/>
      <c r="F36" s="273"/>
    </row>
    <row r="37" spans="1:7" ht="15">
      <c r="A37" s="266" t="s">
        <v>358</v>
      </c>
      <c r="B37" s="266"/>
      <c r="C37" s="266"/>
      <c r="D37" s="272"/>
      <c r="E37" s="273"/>
      <c r="F37" s="273"/>
    </row>
    <row r="38" spans="1:7" ht="15">
      <c r="A38" s="266" t="s">
        <v>50</v>
      </c>
      <c r="B38" s="266"/>
      <c r="C38" s="266"/>
      <c r="D38" s="272"/>
      <c r="E38" s="273"/>
      <c r="F38" s="273"/>
    </row>
    <row r="39" spans="1:7" ht="15">
      <c r="A39" s="274" t="s">
        <v>19</v>
      </c>
      <c r="B39" s="266"/>
      <c r="C39" s="266"/>
      <c r="D39" s="272"/>
      <c r="E39" s="273"/>
      <c r="F39" s="273"/>
    </row>
    <row r="43" spans="1:7" ht="15" customHeight="1">
      <c r="A43" s="224"/>
      <c r="B43" s="224"/>
      <c r="C43" s="224"/>
      <c r="D43" s="917" t="s">
        <v>13</v>
      </c>
      <c r="E43" s="917"/>
      <c r="F43" s="239"/>
      <c r="G43" s="225"/>
    </row>
    <row r="44" spans="1:7" ht="15" customHeight="1">
      <c r="A44" s="224"/>
      <c r="B44" s="224"/>
      <c r="C44" s="224"/>
      <c r="D44" s="917" t="s">
        <v>14</v>
      </c>
      <c r="E44" s="917"/>
      <c r="F44" s="225"/>
      <c r="G44" s="225"/>
    </row>
    <row r="45" spans="1:7" ht="15" customHeight="1">
      <c r="A45" s="224"/>
      <c r="B45" s="224"/>
      <c r="C45" s="224"/>
      <c r="D45" s="917" t="s">
        <v>90</v>
      </c>
      <c r="E45" s="917"/>
      <c r="F45" s="225"/>
      <c r="G45" s="225"/>
    </row>
    <row r="46" spans="1:7">
      <c r="A46" s="224" t="s">
        <v>12</v>
      </c>
      <c r="C46" s="224"/>
      <c r="D46" s="226" t="s">
        <v>87</v>
      </c>
      <c r="E46" s="226"/>
      <c r="F46" s="226"/>
      <c r="G46" s="229"/>
    </row>
  </sheetData>
  <mergeCells count="8">
    <mergeCell ref="D44:E44"/>
    <mergeCell ref="D45:E45"/>
    <mergeCell ref="A1:E1"/>
    <mergeCell ref="A2:F2"/>
    <mergeCell ref="A4:G4"/>
    <mergeCell ref="A19:G19"/>
    <mergeCell ref="D43:E43"/>
    <mergeCell ref="E20:F20"/>
  </mergeCells>
  <printOptions horizontalCentered="1"/>
  <pageMargins left="0.70866141732283472" right="0.70866141732283472" top="0.23622047244094491" bottom="0" header="0.31496062992125984" footer="0.31496062992125984"/>
  <pageSetup paperSize="9" scale="74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H13"/>
  <sheetViews>
    <sheetView view="pageBreakPreview" zoomScale="90" zoomScaleSheetLayoutView="90" workbookViewId="0">
      <selection activeCell="G37" sqref="G37"/>
    </sheetView>
  </sheetViews>
  <sheetFormatPr defaultRowHeight="12.75"/>
  <sheetData>
    <row r="2" spans="2:8">
      <c r="B2" s="14"/>
    </row>
    <row r="4" spans="2:8" ht="12.75" customHeight="1">
      <c r="B4" s="1087" t="s">
        <v>710</v>
      </c>
      <c r="C4" s="1087"/>
      <c r="D4" s="1087"/>
      <c r="E4" s="1087"/>
      <c r="F4" s="1087"/>
      <c r="G4" s="1087"/>
      <c r="H4" s="1087"/>
    </row>
    <row r="5" spans="2:8" ht="12.75" customHeight="1">
      <c r="B5" s="1087"/>
      <c r="C5" s="1087"/>
      <c r="D5" s="1087"/>
      <c r="E5" s="1087"/>
      <c r="F5" s="1087"/>
      <c r="G5" s="1087"/>
      <c r="H5" s="1087"/>
    </row>
    <row r="6" spans="2:8" ht="12.75" customHeight="1">
      <c r="B6" s="1087"/>
      <c r="C6" s="1087"/>
      <c r="D6" s="1087"/>
      <c r="E6" s="1087"/>
      <c r="F6" s="1087"/>
      <c r="G6" s="1087"/>
      <c r="H6" s="1087"/>
    </row>
    <row r="7" spans="2:8" ht="12.75" customHeight="1">
      <c r="B7" s="1087"/>
      <c r="C7" s="1087"/>
      <c r="D7" s="1087"/>
      <c r="E7" s="1087"/>
      <c r="F7" s="1087"/>
      <c r="G7" s="1087"/>
      <c r="H7" s="1087"/>
    </row>
    <row r="8" spans="2:8" ht="12.75" customHeight="1">
      <c r="B8" s="1087"/>
      <c r="C8" s="1087"/>
      <c r="D8" s="1087"/>
      <c r="E8" s="1087"/>
      <c r="F8" s="1087"/>
      <c r="G8" s="1087"/>
      <c r="H8" s="1087"/>
    </row>
    <row r="9" spans="2:8" ht="12.75" customHeight="1">
      <c r="B9" s="1087"/>
      <c r="C9" s="1087"/>
      <c r="D9" s="1087"/>
      <c r="E9" s="1087"/>
      <c r="F9" s="1087"/>
      <c r="G9" s="1087"/>
      <c r="H9" s="1087"/>
    </row>
    <row r="10" spans="2:8" ht="12.75" customHeight="1">
      <c r="B10" s="1087"/>
      <c r="C10" s="1087"/>
      <c r="D10" s="1087"/>
      <c r="E10" s="1087"/>
      <c r="F10" s="1087"/>
      <c r="G10" s="1087"/>
      <c r="H10" s="1087"/>
    </row>
    <row r="11" spans="2:8" ht="12.75" customHeight="1">
      <c r="B11" s="1087"/>
      <c r="C11" s="1087"/>
      <c r="D11" s="1087"/>
      <c r="E11" s="1087"/>
      <c r="F11" s="1087"/>
      <c r="G11" s="1087"/>
      <c r="H11" s="1087"/>
    </row>
    <row r="12" spans="2:8" ht="12.75" customHeight="1">
      <c r="B12" s="1087"/>
      <c r="C12" s="1087"/>
      <c r="D12" s="1087"/>
      <c r="E12" s="1087"/>
      <c r="F12" s="1087"/>
      <c r="G12" s="1087"/>
      <c r="H12" s="1087"/>
    </row>
    <row r="13" spans="2:8" ht="12.75" customHeight="1">
      <c r="B13" s="1087"/>
      <c r="C13" s="1087"/>
      <c r="D13" s="1087"/>
      <c r="E13" s="1087"/>
      <c r="F13" s="1087"/>
      <c r="G13" s="1087"/>
      <c r="H13" s="1087"/>
    </row>
  </sheetData>
  <mergeCells count="1">
    <mergeCell ref="B4:H13"/>
  </mergeCells>
  <printOptions horizontalCentered="1"/>
  <pageMargins left="0.70866141732283472" right="0.70866141732283472" top="0.23622047244094491" bottom="0" header="0.31496062992125984" footer="0.31496062992125984"/>
  <pageSetup paperSize="9" orientation="landscape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T33"/>
  <sheetViews>
    <sheetView view="pageBreakPreview" topLeftCell="A13" zoomScaleNormal="90" zoomScaleSheetLayoutView="100" workbookViewId="0">
      <selection activeCell="K14" sqref="K14"/>
    </sheetView>
  </sheetViews>
  <sheetFormatPr defaultRowHeight="14.25"/>
  <cols>
    <col min="1" max="1" width="4.7109375" style="49" customWidth="1"/>
    <col min="2" max="2" width="16.85546875" style="49" customWidth="1"/>
    <col min="3" max="3" width="11.7109375" style="49" customWidth="1"/>
    <col min="4" max="4" width="12" style="49" customWidth="1"/>
    <col min="5" max="5" width="12.140625" style="49" customWidth="1"/>
    <col min="6" max="6" width="17.42578125" style="49" customWidth="1"/>
    <col min="7" max="7" width="12.42578125" style="49" customWidth="1"/>
    <col min="8" max="8" width="16" style="49" customWidth="1"/>
    <col min="9" max="9" width="12.7109375" style="49" customWidth="1"/>
    <col min="10" max="10" width="15" style="49" customWidth="1"/>
    <col min="11" max="11" width="16" style="49" customWidth="1"/>
    <col min="12" max="12" width="11.85546875" style="49" customWidth="1"/>
    <col min="13" max="16384" width="9.140625" style="49"/>
  </cols>
  <sheetData>
    <row r="1" spans="1:20" ht="15" customHeight="1">
      <c r="C1" s="818"/>
      <c r="D1" s="818"/>
      <c r="E1" s="818"/>
      <c r="F1" s="818"/>
      <c r="G1" s="818"/>
      <c r="H1" s="818"/>
      <c r="I1" s="175"/>
      <c r="J1" s="986" t="s">
        <v>536</v>
      </c>
      <c r="K1" s="986"/>
    </row>
    <row r="2" spans="1:20" s="56" customFormat="1" ht="19.5" customHeight="1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  <c r="K2" s="1094"/>
    </row>
    <row r="3" spans="1:20" s="56" customFormat="1" ht="19.5" customHeight="1">
      <c r="A3" s="1093" t="s">
        <v>705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</row>
    <row r="4" spans="1:20" s="56" customFormat="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20" s="56" customFormat="1" ht="18" customHeight="1">
      <c r="A5" s="1031" t="s">
        <v>711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</row>
    <row r="6" spans="1:20" ht="15.75">
      <c r="A6" s="850" t="s">
        <v>923</v>
      </c>
      <c r="B6" s="850"/>
      <c r="C6" s="114"/>
      <c r="D6" s="114"/>
      <c r="E6" s="114"/>
      <c r="F6" s="114"/>
      <c r="G6" s="114"/>
      <c r="H6" s="114"/>
      <c r="I6" s="114"/>
      <c r="J6" s="114"/>
      <c r="K6" s="114"/>
    </row>
    <row r="7" spans="1:20" ht="29.25" customHeight="1">
      <c r="A7" s="1090" t="s">
        <v>77</v>
      </c>
      <c r="B7" s="1090" t="s">
        <v>78</v>
      </c>
      <c r="C7" s="1090" t="s">
        <v>79</v>
      </c>
      <c r="D7" s="1090" t="s">
        <v>160</v>
      </c>
      <c r="E7" s="1090"/>
      <c r="F7" s="1090"/>
      <c r="G7" s="1090"/>
      <c r="H7" s="1090"/>
      <c r="I7" s="877" t="s">
        <v>242</v>
      </c>
      <c r="J7" s="1090" t="s">
        <v>80</v>
      </c>
      <c r="K7" s="1090" t="s">
        <v>481</v>
      </c>
      <c r="L7" s="1088" t="s">
        <v>81</v>
      </c>
      <c r="S7" s="55"/>
      <c r="T7" s="55"/>
    </row>
    <row r="8" spans="1:20" ht="33.75" customHeight="1">
      <c r="A8" s="1090"/>
      <c r="B8" s="1090"/>
      <c r="C8" s="1090"/>
      <c r="D8" s="1090" t="s">
        <v>82</v>
      </c>
      <c r="E8" s="1090" t="s">
        <v>83</v>
      </c>
      <c r="F8" s="1090"/>
      <c r="G8" s="1090"/>
      <c r="H8" s="51" t="s">
        <v>84</v>
      </c>
      <c r="I8" s="1091"/>
      <c r="J8" s="1090"/>
      <c r="K8" s="1090"/>
      <c r="L8" s="1088"/>
    </row>
    <row r="9" spans="1:20" ht="30">
      <c r="A9" s="1090"/>
      <c r="B9" s="1090"/>
      <c r="C9" s="1090"/>
      <c r="D9" s="1090"/>
      <c r="E9" s="51" t="s">
        <v>85</v>
      </c>
      <c r="F9" s="51" t="s">
        <v>86</v>
      </c>
      <c r="G9" s="51" t="s">
        <v>19</v>
      </c>
      <c r="H9" s="51"/>
      <c r="I9" s="878"/>
      <c r="J9" s="1090"/>
      <c r="K9" s="1090"/>
      <c r="L9" s="1088"/>
    </row>
    <row r="10" spans="1:20" s="162" customFormat="1" ht="17.100000000000001" customHeight="1">
      <c r="A10" s="161">
        <v>1</v>
      </c>
      <c r="B10" s="161">
        <v>2</v>
      </c>
      <c r="C10" s="161">
        <v>3</v>
      </c>
      <c r="D10" s="161">
        <v>4</v>
      </c>
      <c r="E10" s="161">
        <v>5</v>
      </c>
      <c r="F10" s="161">
        <v>6</v>
      </c>
      <c r="G10" s="161">
        <v>7</v>
      </c>
      <c r="H10" s="161">
        <v>8</v>
      </c>
      <c r="I10" s="161">
        <v>9</v>
      </c>
      <c r="J10" s="161">
        <v>10</v>
      </c>
      <c r="K10" s="161">
        <v>11</v>
      </c>
      <c r="L10" s="161">
        <v>12</v>
      </c>
    </row>
    <row r="11" spans="1:20" ht="17.100000000000001" customHeight="1">
      <c r="A11" s="58">
        <v>1</v>
      </c>
      <c r="B11" s="59" t="s">
        <v>806</v>
      </c>
      <c r="C11" s="53">
        <v>30</v>
      </c>
      <c r="D11" s="418">
        <v>0</v>
      </c>
      <c r="E11" s="418">
        <v>4</v>
      </c>
      <c r="F11" s="418">
        <v>2</v>
      </c>
      <c r="G11" s="418">
        <f>SUM(E11:F11)</f>
        <v>6</v>
      </c>
      <c r="H11" s="418">
        <f>D11+G11</f>
        <v>6</v>
      </c>
      <c r="I11" s="418">
        <f>C11-H11</f>
        <v>24</v>
      </c>
      <c r="J11" s="418">
        <f>C11-H11</f>
        <v>24</v>
      </c>
      <c r="K11" s="418">
        <v>25</v>
      </c>
      <c r="L11" s="52"/>
      <c r="M11" s="49">
        <f>K116+K12+K13+K14</f>
        <v>79</v>
      </c>
    </row>
    <row r="12" spans="1:20" ht="17.100000000000001" customHeight="1">
      <c r="A12" s="58">
        <v>2</v>
      </c>
      <c r="B12" s="59" t="s">
        <v>807</v>
      </c>
      <c r="C12" s="53">
        <v>31</v>
      </c>
      <c r="D12" s="418">
        <v>22</v>
      </c>
      <c r="E12" s="418">
        <v>1</v>
      </c>
      <c r="F12" s="418">
        <v>0</v>
      </c>
      <c r="G12" s="418">
        <f t="shared" ref="G12:G22" si="0">SUM(E12:F12)</f>
        <v>1</v>
      </c>
      <c r="H12" s="418">
        <f t="shared" ref="H12:H21" si="1">D12+G12</f>
        <v>23</v>
      </c>
      <c r="I12" s="418">
        <f t="shared" ref="I12:I22" si="2">C12-H12</f>
        <v>8</v>
      </c>
      <c r="J12" s="418">
        <f t="shared" ref="J12:J22" si="3">C12-H12</f>
        <v>8</v>
      </c>
      <c r="K12" s="418">
        <v>27</v>
      </c>
      <c r="L12" s="52"/>
    </row>
    <row r="13" spans="1:20" ht="17.100000000000001" customHeight="1">
      <c r="A13" s="58">
        <v>3</v>
      </c>
      <c r="B13" s="59" t="s">
        <v>808</v>
      </c>
      <c r="C13" s="53">
        <v>30</v>
      </c>
      <c r="D13" s="418">
        <v>18</v>
      </c>
      <c r="E13" s="418">
        <v>2</v>
      </c>
      <c r="F13" s="418">
        <v>0</v>
      </c>
      <c r="G13" s="418">
        <f t="shared" si="0"/>
        <v>2</v>
      </c>
      <c r="H13" s="418">
        <f t="shared" si="1"/>
        <v>20</v>
      </c>
      <c r="I13" s="418">
        <f t="shared" si="2"/>
        <v>10</v>
      </c>
      <c r="J13" s="418">
        <f t="shared" si="3"/>
        <v>10</v>
      </c>
      <c r="K13" s="418">
        <v>26</v>
      </c>
      <c r="L13" s="52"/>
    </row>
    <row r="14" spans="1:20" ht="17.100000000000001" customHeight="1">
      <c r="A14" s="58">
        <v>4</v>
      </c>
      <c r="B14" s="59" t="s">
        <v>809</v>
      </c>
      <c r="C14" s="53">
        <v>31</v>
      </c>
      <c r="D14" s="418">
        <v>0</v>
      </c>
      <c r="E14" s="418">
        <v>4</v>
      </c>
      <c r="F14" s="418">
        <v>0</v>
      </c>
      <c r="G14" s="418">
        <f t="shared" si="0"/>
        <v>4</v>
      </c>
      <c r="H14" s="418">
        <f t="shared" si="1"/>
        <v>4</v>
      </c>
      <c r="I14" s="418">
        <f t="shared" si="2"/>
        <v>27</v>
      </c>
      <c r="J14" s="418">
        <f t="shared" si="3"/>
        <v>27</v>
      </c>
      <c r="K14" s="418">
        <v>26</v>
      </c>
      <c r="L14" s="52"/>
    </row>
    <row r="15" spans="1:20" ht="17.100000000000001" customHeight="1">
      <c r="A15" s="58">
        <v>5</v>
      </c>
      <c r="B15" s="59" t="s">
        <v>810</v>
      </c>
      <c r="C15" s="53">
        <v>31</v>
      </c>
      <c r="D15" s="418">
        <v>0</v>
      </c>
      <c r="E15" s="418">
        <v>4</v>
      </c>
      <c r="F15" s="418">
        <v>3</v>
      </c>
      <c r="G15" s="418">
        <f t="shared" si="0"/>
        <v>7</v>
      </c>
      <c r="H15" s="418">
        <f t="shared" si="1"/>
        <v>7</v>
      </c>
      <c r="I15" s="418">
        <f t="shared" si="2"/>
        <v>24</v>
      </c>
      <c r="J15" s="418">
        <f t="shared" si="3"/>
        <v>24</v>
      </c>
      <c r="K15" s="418">
        <v>27</v>
      </c>
      <c r="L15" s="52"/>
    </row>
    <row r="16" spans="1:20" s="57" customFormat="1" ht="17.100000000000001" customHeight="1">
      <c r="A16" s="58">
        <v>6</v>
      </c>
      <c r="B16" s="59" t="s">
        <v>811</v>
      </c>
      <c r="C16" s="58">
        <v>30</v>
      </c>
      <c r="D16" s="418">
        <v>0</v>
      </c>
      <c r="E16" s="418">
        <v>5</v>
      </c>
      <c r="F16" s="418">
        <v>1</v>
      </c>
      <c r="G16" s="418">
        <f t="shared" si="0"/>
        <v>6</v>
      </c>
      <c r="H16" s="418">
        <f t="shared" si="1"/>
        <v>6</v>
      </c>
      <c r="I16" s="418">
        <f t="shared" si="2"/>
        <v>24</v>
      </c>
      <c r="J16" s="418">
        <f t="shared" si="3"/>
        <v>24</v>
      </c>
      <c r="K16" s="418">
        <v>26</v>
      </c>
      <c r="L16" s="59"/>
    </row>
    <row r="17" spans="1:12" s="57" customFormat="1" ht="17.100000000000001" customHeight="1">
      <c r="A17" s="58">
        <v>7</v>
      </c>
      <c r="B17" s="59" t="s">
        <v>812</v>
      </c>
      <c r="C17" s="58">
        <v>31</v>
      </c>
      <c r="D17" s="418">
        <v>12</v>
      </c>
      <c r="E17" s="418">
        <v>4</v>
      </c>
      <c r="F17" s="418">
        <v>2</v>
      </c>
      <c r="G17" s="418">
        <f t="shared" si="0"/>
        <v>6</v>
      </c>
      <c r="H17" s="418">
        <f t="shared" si="1"/>
        <v>18</v>
      </c>
      <c r="I17" s="418">
        <f t="shared" si="2"/>
        <v>13</v>
      </c>
      <c r="J17" s="418">
        <f t="shared" si="3"/>
        <v>13</v>
      </c>
      <c r="K17" s="418">
        <v>27</v>
      </c>
      <c r="L17" s="59"/>
    </row>
    <row r="18" spans="1:12" s="57" customFormat="1" ht="17.100000000000001" customHeight="1">
      <c r="A18" s="58">
        <v>8</v>
      </c>
      <c r="B18" s="59" t="s">
        <v>813</v>
      </c>
      <c r="C18" s="58">
        <v>30</v>
      </c>
      <c r="D18" s="418">
        <v>0</v>
      </c>
      <c r="E18" s="418">
        <v>4</v>
      </c>
      <c r="F18" s="418">
        <v>1</v>
      </c>
      <c r="G18" s="418">
        <f t="shared" si="0"/>
        <v>5</v>
      </c>
      <c r="H18" s="418">
        <f t="shared" si="1"/>
        <v>5</v>
      </c>
      <c r="I18" s="418">
        <f t="shared" si="2"/>
        <v>25</v>
      </c>
      <c r="J18" s="418">
        <f t="shared" si="3"/>
        <v>25</v>
      </c>
      <c r="K18" s="418">
        <v>26</v>
      </c>
      <c r="L18" s="59"/>
    </row>
    <row r="19" spans="1:12" s="57" customFormat="1" ht="17.100000000000001" customHeight="1">
      <c r="A19" s="58">
        <v>9</v>
      </c>
      <c r="B19" s="59" t="s">
        <v>814</v>
      </c>
      <c r="C19" s="58">
        <v>31</v>
      </c>
      <c r="D19" s="418">
        <v>7</v>
      </c>
      <c r="E19" s="418">
        <v>5</v>
      </c>
      <c r="F19" s="418">
        <v>0</v>
      </c>
      <c r="G19" s="418">
        <f t="shared" si="0"/>
        <v>5</v>
      </c>
      <c r="H19" s="418">
        <f t="shared" si="1"/>
        <v>12</v>
      </c>
      <c r="I19" s="418">
        <f t="shared" si="2"/>
        <v>19</v>
      </c>
      <c r="J19" s="418">
        <f t="shared" si="3"/>
        <v>19</v>
      </c>
      <c r="K19" s="418">
        <v>26</v>
      </c>
      <c r="L19" s="59"/>
    </row>
    <row r="20" spans="1:12" s="57" customFormat="1" ht="17.100000000000001" customHeight="1">
      <c r="A20" s="58">
        <v>10</v>
      </c>
      <c r="B20" s="59" t="s">
        <v>815</v>
      </c>
      <c r="C20" s="58">
        <v>31</v>
      </c>
      <c r="D20" s="418">
        <v>6</v>
      </c>
      <c r="E20" s="418">
        <v>4</v>
      </c>
      <c r="F20" s="418">
        <v>1</v>
      </c>
      <c r="G20" s="418">
        <f t="shared" si="0"/>
        <v>5</v>
      </c>
      <c r="H20" s="418">
        <f t="shared" si="1"/>
        <v>11</v>
      </c>
      <c r="I20" s="418">
        <f t="shared" si="2"/>
        <v>20</v>
      </c>
      <c r="J20" s="418">
        <f t="shared" si="3"/>
        <v>20</v>
      </c>
      <c r="K20" s="418">
        <v>27</v>
      </c>
      <c r="L20" s="59"/>
    </row>
    <row r="21" spans="1:12" s="57" customFormat="1" ht="17.100000000000001" customHeight="1">
      <c r="A21" s="58">
        <v>11</v>
      </c>
      <c r="B21" s="59" t="s">
        <v>816</v>
      </c>
      <c r="C21" s="58">
        <v>29</v>
      </c>
      <c r="D21" s="418">
        <v>0</v>
      </c>
      <c r="E21" s="418">
        <v>4</v>
      </c>
      <c r="F21" s="418">
        <v>0</v>
      </c>
      <c r="G21" s="418">
        <f t="shared" si="0"/>
        <v>4</v>
      </c>
      <c r="H21" s="418">
        <f t="shared" si="1"/>
        <v>4</v>
      </c>
      <c r="I21" s="418">
        <f t="shared" si="2"/>
        <v>25</v>
      </c>
      <c r="J21" s="418">
        <f t="shared" si="3"/>
        <v>25</v>
      </c>
      <c r="K21" s="418">
        <v>24</v>
      </c>
      <c r="L21" s="59"/>
    </row>
    <row r="22" spans="1:12" s="57" customFormat="1" ht="17.100000000000001" customHeight="1">
      <c r="A22" s="58">
        <v>12</v>
      </c>
      <c r="B22" s="59" t="s">
        <v>817</v>
      </c>
      <c r="C22" s="58">
        <v>31</v>
      </c>
      <c r="D22" s="418">
        <v>0</v>
      </c>
      <c r="E22" s="418">
        <v>5</v>
      </c>
      <c r="F22" s="418">
        <v>4</v>
      </c>
      <c r="G22" s="418">
        <f t="shared" si="0"/>
        <v>9</v>
      </c>
      <c r="H22" s="418">
        <f>D22+G22</f>
        <v>9</v>
      </c>
      <c r="I22" s="418">
        <f t="shared" si="2"/>
        <v>22</v>
      </c>
      <c r="J22" s="418">
        <f t="shared" si="3"/>
        <v>22</v>
      </c>
      <c r="K22" s="418">
        <v>26</v>
      </c>
      <c r="L22" s="59"/>
    </row>
    <row r="23" spans="1:12" s="57" customFormat="1" ht="17.100000000000001" customHeight="1">
      <c r="A23" s="59"/>
      <c r="B23" s="60" t="s">
        <v>19</v>
      </c>
      <c r="C23" s="58">
        <v>366</v>
      </c>
      <c r="D23" s="58">
        <f>SUM(D11:D22)</f>
        <v>65</v>
      </c>
      <c r="E23" s="58">
        <f t="shared" ref="E23:H23" si="4">SUM(E11:E22)</f>
        <v>46</v>
      </c>
      <c r="F23" s="58">
        <f t="shared" si="4"/>
        <v>14</v>
      </c>
      <c r="G23" s="58">
        <f t="shared" si="4"/>
        <v>60</v>
      </c>
      <c r="H23" s="58">
        <f t="shared" si="4"/>
        <v>125</v>
      </c>
      <c r="I23" s="419">
        <f t="shared" ref="I23:J23" si="5">SUM(I11:I22)</f>
        <v>241</v>
      </c>
      <c r="J23" s="419">
        <f t="shared" si="5"/>
        <v>241</v>
      </c>
      <c r="K23" s="419">
        <f>SUM(K11:K22)</f>
        <v>313</v>
      </c>
      <c r="L23" s="59"/>
    </row>
    <row r="24" spans="1:12" s="57" customFormat="1" ht="11.25" customHeight="1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61"/>
    </row>
    <row r="25" spans="1:12" ht="15">
      <c r="A25" s="681" t="s">
        <v>111</v>
      </c>
      <c r="B25" s="681"/>
      <c r="C25" s="681"/>
      <c r="D25" s="681"/>
      <c r="E25" s="681"/>
      <c r="F25" s="681"/>
      <c r="G25" s="681"/>
      <c r="H25" s="681"/>
      <c r="I25" s="681"/>
      <c r="J25" s="681"/>
      <c r="K25" s="682"/>
    </row>
    <row r="26" spans="1:12" ht="15">
      <c r="A26" s="681"/>
      <c r="B26" s="1092" t="s">
        <v>1040</v>
      </c>
      <c r="C26" s="1092"/>
      <c r="D26" s="1092"/>
      <c r="E26" s="1092"/>
      <c r="F26" s="1092"/>
      <c r="G26" s="1092"/>
      <c r="H26" s="1092"/>
      <c r="I26" s="1092"/>
      <c r="J26" s="1092"/>
      <c r="K26" s="1092"/>
    </row>
    <row r="27" spans="1:12" ht="15">
      <c r="A27" s="681"/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</row>
    <row r="28" spans="1:12" ht="15">
      <c r="A28" s="681"/>
      <c r="B28" s="1092"/>
      <c r="C28" s="1092"/>
      <c r="D28" s="1092"/>
      <c r="E28" s="1092"/>
      <c r="F28" s="1092"/>
      <c r="G28" s="1092"/>
      <c r="H28" s="1092"/>
      <c r="I28" s="1092"/>
      <c r="J28" s="1092"/>
      <c r="K28" s="1092"/>
    </row>
    <row r="29" spans="1:12" ht="15.75">
      <c r="A29" s="681"/>
      <c r="B29" s="683"/>
      <c r="C29" s="683"/>
      <c r="D29" s="683"/>
      <c r="E29" s="683"/>
      <c r="F29" s="683"/>
      <c r="G29" s="683"/>
      <c r="H29" s="683"/>
      <c r="I29" s="683"/>
      <c r="J29" s="683"/>
      <c r="K29" s="683"/>
    </row>
    <row r="30" spans="1:12" ht="15.75">
      <c r="A30" s="54" t="s">
        <v>12</v>
      </c>
      <c r="B30" s="54"/>
      <c r="C30" s="683"/>
      <c r="D30" s="683"/>
      <c r="E30" s="683"/>
      <c r="F30" s="683"/>
      <c r="G30" s="683"/>
      <c r="H30" s="683"/>
      <c r="I30" s="683"/>
      <c r="J30" s="683"/>
      <c r="K30" s="683"/>
    </row>
    <row r="31" spans="1:12" ht="15">
      <c r="A31" s="1089" t="s">
        <v>14</v>
      </c>
      <c r="B31" s="1089"/>
      <c r="C31" s="1089"/>
      <c r="D31" s="1089"/>
      <c r="E31" s="1089"/>
      <c r="F31" s="1089"/>
      <c r="G31" s="1089"/>
      <c r="H31" s="1089"/>
      <c r="I31" s="1089"/>
      <c r="J31" s="1089"/>
      <c r="K31" s="1089"/>
    </row>
    <row r="32" spans="1:12" ht="15">
      <c r="A32" s="1089" t="s">
        <v>20</v>
      </c>
      <c r="B32" s="1089"/>
      <c r="C32" s="1089"/>
      <c r="D32" s="1089"/>
      <c r="E32" s="1089"/>
      <c r="F32" s="1089"/>
      <c r="G32" s="1089"/>
      <c r="H32" s="1089"/>
      <c r="I32" s="1089"/>
      <c r="J32" s="1089"/>
      <c r="K32" s="1089"/>
    </row>
    <row r="33" spans="1:11" ht="15">
      <c r="A33" s="54"/>
      <c r="B33" s="54"/>
      <c r="C33" s="54"/>
      <c r="D33" s="54"/>
      <c r="E33" s="54"/>
      <c r="F33" s="54"/>
      <c r="G33" s="54"/>
      <c r="I33" s="54" t="s">
        <v>87</v>
      </c>
      <c r="J33" s="54"/>
      <c r="K33" s="54"/>
    </row>
  </sheetData>
  <mergeCells count="19">
    <mergeCell ref="C1:H1"/>
    <mergeCell ref="J1:K1"/>
    <mergeCell ref="A3:K3"/>
    <mergeCell ref="A2:K2"/>
    <mergeCell ref="A6:B6"/>
    <mergeCell ref="L7:L9"/>
    <mergeCell ref="A31:K31"/>
    <mergeCell ref="A32:K32"/>
    <mergeCell ref="A5:K5"/>
    <mergeCell ref="A7:A9"/>
    <mergeCell ref="B7:B9"/>
    <mergeCell ref="C7:C9"/>
    <mergeCell ref="D7:H7"/>
    <mergeCell ref="J7:J9"/>
    <mergeCell ref="K7:K9"/>
    <mergeCell ref="D8:D9"/>
    <mergeCell ref="E8:G8"/>
    <mergeCell ref="I7:I9"/>
    <mergeCell ref="B26:K2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33"/>
  <sheetViews>
    <sheetView view="pageBreakPreview" topLeftCell="A7" zoomScaleSheetLayoutView="100" workbookViewId="0">
      <selection activeCell="I11" sqref="I11"/>
    </sheetView>
  </sheetViews>
  <sheetFormatPr defaultRowHeight="14.25"/>
  <cols>
    <col min="1" max="1" width="4.7109375" style="49" customWidth="1"/>
    <col min="2" max="2" width="14.7109375" style="49" customWidth="1"/>
    <col min="3" max="3" width="11.7109375" style="49" customWidth="1"/>
    <col min="4" max="4" width="12" style="49" customWidth="1"/>
    <col min="5" max="5" width="11.85546875" style="49" customWidth="1"/>
    <col min="6" max="6" width="18.85546875" style="49" customWidth="1"/>
    <col min="7" max="7" width="10.140625" style="49" customWidth="1"/>
    <col min="8" max="8" width="14.7109375" style="49" customWidth="1"/>
    <col min="9" max="9" width="15.28515625" style="49" customWidth="1"/>
    <col min="10" max="10" width="14.7109375" style="49" customWidth="1"/>
    <col min="11" max="11" width="11.85546875" style="49" customWidth="1"/>
    <col min="12" max="16384" width="9.140625" style="49"/>
  </cols>
  <sheetData>
    <row r="1" spans="1:19" ht="15" customHeight="1">
      <c r="C1" s="818"/>
      <c r="D1" s="818"/>
      <c r="E1" s="818"/>
      <c r="F1" s="818"/>
      <c r="G1" s="818"/>
      <c r="H1" s="818"/>
      <c r="I1" s="175"/>
      <c r="J1" s="41" t="s">
        <v>537</v>
      </c>
    </row>
    <row r="2" spans="1:19" s="56" customFormat="1" ht="19.5" customHeight="1">
      <c r="A2" s="1094" t="s">
        <v>0</v>
      </c>
      <c r="B2" s="1094"/>
      <c r="C2" s="1094"/>
      <c r="D2" s="1094"/>
      <c r="E2" s="1094"/>
      <c r="F2" s="1094"/>
      <c r="G2" s="1094"/>
      <c r="H2" s="1094"/>
      <c r="I2" s="1094"/>
      <c r="J2" s="1094"/>
    </row>
    <row r="3" spans="1:19" s="56" customFormat="1" ht="19.5" customHeight="1">
      <c r="A3" s="1093" t="s">
        <v>705</v>
      </c>
      <c r="B3" s="1093"/>
      <c r="C3" s="1093"/>
      <c r="D3" s="1093"/>
      <c r="E3" s="1093"/>
      <c r="F3" s="1093"/>
      <c r="G3" s="1093"/>
      <c r="H3" s="1093"/>
      <c r="I3" s="1093"/>
      <c r="J3" s="1093"/>
    </row>
    <row r="4" spans="1:19" s="56" customFormat="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9" s="56" customFormat="1" ht="18" customHeight="1">
      <c r="A5" s="1031" t="s">
        <v>712</v>
      </c>
      <c r="B5" s="1031"/>
      <c r="C5" s="1031"/>
      <c r="D5" s="1031"/>
      <c r="E5" s="1031"/>
      <c r="F5" s="1031"/>
      <c r="G5" s="1031"/>
      <c r="H5" s="1031"/>
      <c r="I5" s="1031"/>
      <c r="J5" s="1031"/>
    </row>
    <row r="6" spans="1:19" ht="15.75">
      <c r="A6" s="850" t="s">
        <v>923</v>
      </c>
      <c r="B6" s="850"/>
      <c r="C6" s="145"/>
      <c r="D6" s="145"/>
      <c r="E6" s="145"/>
      <c r="F6" s="145"/>
      <c r="G6" s="145"/>
      <c r="H6" s="145"/>
      <c r="I6" s="173"/>
      <c r="J6" s="173"/>
    </row>
    <row r="7" spans="1:19" ht="29.25" customHeight="1">
      <c r="A7" s="1090" t="s">
        <v>77</v>
      </c>
      <c r="B7" s="1090" t="s">
        <v>78</v>
      </c>
      <c r="C7" s="1090" t="s">
        <v>79</v>
      </c>
      <c r="D7" s="1090" t="s">
        <v>161</v>
      </c>
      <c r="E7" s="1090"/>
      <c r="F7" s="1090"/>
      <c r="G7" s="1090"/>
      <c r="H7" s="1090"/>
      <c r="I7" s="877" t="s">
        <v>242</v>
      </c>
      <c r="J7" s="1090" t="s">
        <v>80</v>
      </c>
      <c r="K7" s="1090" t="s">
        <v>230</v>
      </c>
    </row>
    <row r="8" spans="1:19" ht="34.15" customHeight="1">
      <c r="A8" s="1090"/>
      <c r="B8" s="1090"/>
      <c r="C8" s="1090"/>
      <c r="D8" s="1090" t="s">
        <v>82</v>
      </c>
      <c r="E8" s="1090" t="s">
        <v>83</v>
      </c>
      <c r="F8" s="1090"/>
      <c r="G8" s="1090"/>
      <c r="H8" s="877" t="s">
        <v>84</v>
      </c>
      <c r="I8" s="1091"/>
      <c r="J8" s="1090"/>
      <c r="K8" s="1090"/>
      <c r="R8" s="55"/>
      <c r="S8" s="55"/>
    </row>
    <row r="9" spans="1:19" ht="33.75" customHeight="1">
      <c r="A9" s="1090"/>
      <c r="B9" s="1090"/>
      <c r="C9" s="1090"/>
      <c r="D9" s="1090"/>
      <c r="E9" s="51" t="s">
        <v>85</v>
      </c>
      <c r="F9" s="51" t="s">
        <v>86</v>
      </c>
      <c r="G9" s="51" t="s">
        <v>19</v>
      </c>
      <c r="H9" s="878"/>
      <c r="I9" s="878"/>
      <c r="J9" s="1090"/>
      <c r="K9" s="1090"/>
    </row>
    <row r="10" spans="1:19" s="57" customFormat="1" ht="17.100000000000001" customHeight="1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</row>
    <row r="11" spans="1:19" ht="17.100000000000001" customHeight="1">
      <c r="A11" s="58">
        <v>1</v>
      </c>
      <c r="B11" s="59" t="s">
        <v>806</v>
      </c>
      <c r="C11" s="53">
        <v>30</v>
      </c>
      <c r="D11" s="418">
        <v>0</v>
      </c>
      <c r="E11" s="418">
        <v>4</v>
      </c>
      <c r="F11" s="418">
        <v>2</v>
      </c>
      <c r="G11" s="418">
        <f>SUM(E11:F11)</f>
        <v>6</v>
      </c>
      <c r="H11" s="418">
        <f>D11+G11</f>
        <v>6</v>
      </c>
      <c r="I11" s="418">
        <f>C11-H11</f>
        <v>24</v>
      </c>
      <c r="J11" s="418">
        <f>C11-H11</f>
        <v>24</v>
      </c>
      <c r="K11" s="52"/>
    </row>
    <row r="12" spans="1:19" ht="17.100000000000001" customHeight="1">
      <c r="A12" s="58">
        <v>2</v>
      </c>
      <c r="B12" s="59" t="s">
        <v>807</v>
      </c>
      <c r="C12" s="53">
        <v>31</v>
      </c>
      <c r="D12" s="418">
        <v>22</v>
      </c>
      <c r="E12" s="418">
        <v>1</v>
      </c>
      <c r="F12" s="418">
        <v>0</v>
      </c>
      <c r="G12" s="418">
        <f t="shared" ref="G12:G22" si="0">SUM(E12:F12)</f>
        <v>1</v>
      </c>
      <c r="H12" s="418">
        <f t="shared" ref="H12:H21" si="1">D12+G12</f>
        <v>23</v>
      </c>
      <c r="I12" s="418">
        <f t="shared" ref="I12:I22" si="2">C12-H12</f>
        <v>8</v>
      </c>
      <c r="J12" s="418">
        <f t="shared" ref="J12:J22" si="3">C12-H12</f>
        <v>8</v>
      </c>
      <c r="K12" s="52"/>
    </row>
    <row r="13" spans="1:19" ht="17.100000000000001" customHeight="1">
      <c r="A13" s="58">
        <v>3</v>
      </c>
      <c r="B13" s="59" t="s">
        <v>808</v>
      </c>
      <c r="C13" s="53">
        <v>30</v>
      </c>
      <c r="D13" s="418">
        <v>18</v>
      </c>
      <c r="E13" s="418">
        <v>2</v>
      </c>
      <c r="F13" s="418">
        <v>0</v>
      </c>
      <c r="G13" s="418">
        <f t="shared" si="0"/>
        <v>2</v>
      </c>
      <c r="H13" s="418">
        <f t="shared" si="1"/>
        <v>20</v>
      </c>
      <c r="I13" s="418">
        <f t="shared" si="2"/>
        <v>10</v>
      </c>
      <c r="J13" s="418">
        <f t="shared" si="3"/>
        <v>10</v>
      </c>
      <c r="K13" s="59"/>
    </row>
    <row r="14" spans="1:19" ht="17.100000000000001" customHeight="1">
      <c r="A14" s="58">
        <v>4</v>
      </c>
      <c r="B14" s="59" t="s">
        <v>809</v>
      </c>
      <c r="C14" s="53">
        <v>31</v>
      </c>
      <c r="D14" s="418">
        <v>0</v>
      </c>
      <c r="E14" s="418">
        <v>4</v>
      </c>
      <c r="F14" s="418">
        <v>0</v>
      </c>
      <c r="G14" s="418">
        <f t="shared" si="0"/>
        <v>4</v>
      </c>
      <c r="H14" s="418">
        <f t="shared" si="1"/>
        <v>4</v>
      </c>
      <c r="I14" s="418">
        <f t="shared" si="2"/>
        <v>27</v>
      </c>
      <c r="J14" s="418">
        <f t="shared" si="3"/>
        <v>27</v>
      </c>
      <c r="K14" s="59"/>
    </row>
    <row r="15" spans="1:19" ht="17.100000000000001" customHeight="1">
      <c r="A15" s="58">
        <v>5</v>
      </c>
      <c r="B15" s="59" t="s">
        <v>810</v>
      </c>
      <c r="C15" s="53">
        <v>31</v>
      </c>
      <c r="D15" s="418">
        <v>0</v>
      </c>
      <c r="E15" s="418">
        <v>4</v>
      </c>
      <c r="F15" s="418">
        <v>3</v>
      </c>
      <c r="G15" s="418">
        <f t="shared" si="0"/>
        <v>7</v>
      </c>
      <c r="H15" s="418">
        <f t="shared" si="1"/>
        <v>7</v>
      </c>
      <c r="I15" s="418">
        <f t="shared" si="2"/>
        <v>24</v>
      </c>
      <c r="J15" s="418">
        <f t="shared" si="3"/>
        <v>24</v>
      </c>
      <c r="K15" s="59"/>
    </row>
    <row r="16" spans="1:19" s="57" customFormat="1" ht="17.100000000000001" customHeight="1">
      <c r="A16" s="58">
        <v>6</v>
      </c>
      <c r="B16" s="59" t="s">
        <v>811</v>
      </c>
      <c r="C16" s="58">
        <v>30</v>
      </c>
      <c r="D16" s="418">
        <v>0</v>
      </c>
      <c r="E16" s="418">
        <v>5</v>
      </c>
      <c r="F16" s="418">
        <v>1</v>
      </c>
      <c r="G16" s="418">
        <f t="shared" si="0"/>
        <v>6</v>
      </c>
      <c r="H16" s="418">
        <f t="shared" si="1"/>
        <v>6</v>
      </c>
      <c r="I16" s="418">
        <f t="shared" si="2"/>
        <v>24</v>
      </c>
      <c r="J16" s="418">
        <f t="shared" si="3"/>
        <v>24</v>
      </c>
      <c r="K16" s="59"/>
    </row>
    <row r="17" spans="1:11" s="57" customFormat="1" ht="17.100000000000001" customHeight="1">
      <c r="A17" s="58">
        <v>7</v>
      </c>
      <c r="B17" s="59" t="s">
        <v>812</v>
      </c>
      <c r="C17" s="58">
        <v>31</v>
      </c>
      <c r="D17" s="418">
        <v>12</v>
      </c>
      <c r="E17" s="418">
        <v>4</v>
      </c>
      <c r="F17" s="418">
        <v>2</v>
      </c>
      <c r="G17" s="418">
        <f t="shared" si="0"/>
        <v>6</v>
      </c>
      <c r="H17" s="418">
        <f t="shared" si="1"/>
        <v>18</v>
      </c>
      <c r="I17" s="418">
        <f t="shared" si="2"/>
        <v>13</v>
      </c>
      <c r="J17" s="418">
        <f t="shared" si="3"/>
        <v>13</v>
      </c>
      <c r="K17" s="59"/>
    </row>
    <row r="18" spans="1:11" s="57" customFormat="1" ht="17.100000000000001" customHeight="1">
      <c r="A18" s="58">
        <v>8</v>
      </c>
      <c r="B18" s="59" t="s">
        <v>813</v>
      </c>
      <c r="C18" s="58">
        <v>30</v>
      </c>
      <c r="D18" s="418">
        <v>0</v>
      </c>
      <c r="E18" s="418">
        <v>4</v>
      </c>
      <c r="F18" s="418">
        <v>1</v>
      </c>
      <c r="G18" s="418">
        <f t="shared" si="0"/>
        <v>5</v>
      </c>
      <c r="H18" s="418">
        <f t="shared" si="1"/>
        <v>5</v>
      </c>
      <c r="I18" s="418">
        <f t="shared" si="2"/>
        <v>25</v>
      </c>
      <c r="J18" s="418">
        <f t="shared" si="3"/>
        <v>25</v>
      </c>
      <c r="K18" s="59"/>
    </row>
    <row r="19" spans="1:11" s="57" customFormat="1" ht="17.100000000000001" customHeight="1">
      <c r="A19" s="58">
        <v>9</v>
      </c>
      <c r="B19" s="59" t="s">
        <v>814</v>
      </c>
      <c r="C19" s="58">
        <v>31</v>
      </c>
      <c r="D19" s="418">
        <v>7</v>
      </c>
      <c r="E19" s="418">
        <v>5</v>
      </c>
      <c r="F19" s="418">
        <v>0</v>
      </c>
      <c r="G19" s="418">
        <f t="shared" si="0"/>
        <v>5</v>
      </c>
      <c r="H19" s="418">
        <f t="shared" si="1"/>
        <v>12</v>
      </c>
      <c r="I19" s="418">
        <f t="shared" si="2"/>
        <v>19</v>
      </c>
      <c r="J19" s="418">
        <f t="shared" si="3"/>
        <v>19</v>
      </c>
      <c r="K19" s="59"/>
    </row>
    <row r="20" spans="1:11" s="57" customFormat="1" ht="17.100000000000001" customHeight="1">
      <c r="A20" s="58">
        <v>10</v>
      </c>
      <c r="B20" s="59" t="s">
        <v>818</v>
      </c>
      <c r="C20" s="58">
        <v>31</v>
      </c>
      <c r="D20" s="418">
        <v>6</v>
      </c>
      <c r="E20" s="418">
        <v>4</v>
      </c>
      <c r="F20" s="418">
        <v>1</v>
      </c>
      <c r="G20" s="418">
        <f t="shared" si="0"/>
        <v>5</v>
      </c>
      <c r="H20" s="418">
        <f t="shared" si="1"/>
        <v>11</v>
      </c>
      <c r="I20" s="418">
        <f t="shared" si="2"/>
        <v>20</v>
      </c>
      <c r="J20" s="418">
        <f t="shared" si="3"/>
        <v>20</v>
      </c>
      <c r="K20" s="59"/>
    </row>
    <row r="21" spans="1:11" s="57" customFormat="1" ht="17.100000000000001" customHeight="1">
      <c r="A21" s="58">
        <v>11</v>
      </c>
      <c r="B21" s="59" t="s">
        <v>819</v>
      </c>
      <c r="C21" s="58">
        <v>29</v>
      </c>
      <c r="D21" s="418">
        <v>0</v>
      </c>
      <c r="E21" s="418">
        <v>4</v>
      </c>
      <c r="F21" s="418">
        <v>0</v>
      </c>
      <c r="G21" s="418">
        <f t="shared" si="0"/>
        <v>4</v>
      </c>
      <c r="H21" s="418">
        <f t="shared" si="1"/>
        <v>4</v>
      </c>
      <c r="I21" s="418">
        <f t="shared" si="2"/>
        <v>25</v>
      </c>
      <c r="J21" s="418">
        <f t="shared" si="3"/>
        <v>25</v>
      </c>
      <c r="K21" s="59"/>
    </row>
    <row r="22" spans="1:11" s="57" customFormat="1" ht="17.100000000000001" customHeight="1">
      <c r="A22" s="58">
        <v>12</v>
      </c>
      <c r="B22" s="59" t="s">
        <v>820</v>
      </c>
      <c r="C22" s="58">
        <v>31</v>
      </c>
      <c r="D22" s="418">
        <v>0</v>
      </c>
      <c r="E22" s="418">
        <v>5</v>
      </c>
      <c r="F22" s="418">
        <v>4</v>
      </c>
      <c r="G22" s="418">
        <f t="shared" si="0"/>
        <v>9</v>
      </c>
      <c r="H22" s="418">
        <f>D22+G22</f>
        <v>9</v>
      </c>
      <c r="I22" s="418">
        <f t="shared" si="2"/>
        <v>22</v>
      </c>
      <c r="J22" s="418">
        <f t="shared" si="3"/>
        <v>22</v>
      </c>
      <c r="K22" s="59"/>
    </row>
    <row r="23" spans="1:11" s="57" customFormat="1" ht="17.100000000000001" customHeight="1">
      <c r="A23" s="59"/>
      <c r="B23" s="60" t="s">
        <v>19</v>
      </c>
      <c r="C23" s="58">
        <v>366</v>
      </c>
      <c r="D23" s="419">
        <f t="shared" ref="D23:J23" si="4">SUM(D11:D22)</f>
        <v>65</v>
      </c>
      <c r="E23" s="419">
        <f t="shared" si="4"/>
        <v>46</v>
      </c>
      <c r="F23" s="419">
        <f t="shared" si="4"/>
        <v>14</v>
      </c>
      <c r="G23" s="419">
        <f t="shared" si="4"/>
        <v>60</v>
      </c>
      <c r="H23" s="419">
        <f t="shared" si="4"/>
        <v>125</v>
      </c>
      <c r="I23" s="419">
        <f t="shared" si="4"/>
        <v>241</v>
      </c>
      <c r="J23" s="419">
        <f t="shared" si="4"/>
        <v>241</v>
      </c>
      <c r="K23" s="59"/>
    </row>
    <row r="24" spans="1:11" s="57" customFormat="1" ht="11.25" customHeight="1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59"/>
    </row>
    <row r="25" spans="1:11" ht="15">
      <c r="A25" s="681" t="s">
        <v>111</v>
      </c>
      <c r="B25" s="681"/>
      <c r="C25" s="681"/>
      <c r="D25" s="681"/>
      <c r="E25" s="681"/>
      <c r="F25" s="681"/>
      <c r="G25" s="681"/>
      <c r="H25" s="681"/>
      <c r="I25" s="681"/>
      <c r="J25" s="681"/>
      <c r="K25" s="682"/>
    </row>
    <row r="26" spans="1:11" ht="15">
      <c r="A26" s="681"/>
      <c r="B26" s="1092" t="s">
        <v>1040</v>
      </c>
      <c r="C26" s="1092"/>
      <c r="D26" s="1092"/>
      <c r="E26" s="1092"/>
      <c r="F26" s="1092"/>
      <c r="G26" s="1092"/>
      <c r="H26" s="1092"/>
      <c r="I26" s="1092"/>
      <c r="J26" s="1092"/>
      <c r="K26" s="1092"/>
    </row>
    <row r="27" spans="1:11" ht="15">
      <c r="A27" s="681"/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</row>
    <row r="28" spans="1:11" ht="15">
      <c r="A28" s="681"/>
      <c r="B28" s="1092"/>
      <c r="C28" s="1092"/>
      <c r="D28" s="1092"/>
      <c r="E28" s="1092"/>
      <c r="F28" s="1092"/>
      <c r="G28" s="1092"/>
      <c r="H28" s="1092"/>
      <c r="I28" s="1092"/>
      <c r="J28" s="1092"/>
      <c r="K28" s="1092"/>
    </row>
    <row r="29" spans="1:11" ht="15.75">
      <c r="A29" s="681"/>
      <c r="B29" s="683"/>
      <c r="C29" s="683"/>
      <c r="D29" s="683"/>
      <c r="E29" s="683"/>
      <c r="F29" s="683"/>
      <c r="G29" s="683"/>
      <c r="H29" s="683"/>
      <c r="I29" s="683"/>
      <c r="J29" s="683"/>
      <c r="K29" s="683"/>
    </row>
    <row r="30" spans="1:11" ht="15" customHeight="1">
      <c r="A30" s="54" t="s">
        <v>12</v>
      </c>
      <c r="B30" s="54"/>
      <c r="C30" s="683"/>
      <c r="D30" s="683"/>
      <c r="E30" s="683"/>
      <c r="F30" s="683"/>
      <c r="G30" s="683"/>
      <c r="H30" s="683"/>
      <c r="I30" s="683"/>
      <c r="J30" s="683"/>
      <c r="K30" s="683"/>
    </row>
    <row r="31" spans="1:11" ht="15" customHeight="1">
      <c r="A31" s="1089" t="s">
        <v>14</v>
      </c>
      <c r="B31" s="1089"/>
      <c r="C31" s="1089"/>
      <c r="D31" s="1089"/>
      <c r="E31" s="1089"/>
      <c r="F31" s="1089"/>
      <c r="G31" s="1089"/>
      <c r="H31" s="1089"/>
      <c r="I31" s="1089"/>
      <c r="J31" s="1089"/>
      <c r="K31" s="1089"/>
    </row>
    <row r="32" spans="1:11" ht="15">
      <c r="A32" s="1089" t="s">
        <v>20</v>
      </c>
      <c r="B32" s="1089"/>
      <c r="C32" s="1089"/>
      <c r="D32" s="1089"/>
      <c r="E32" s="1089"/>
      <c r="F32" s="1089"/>
      <c r="G32" s="1089"/>
      <c r="H32" s="1089"/>
      <c r="I32" s="1089"/>
      <c r="J32" s="1089"/>
      <c r="K32" s="1089"/>
    </row>
    <row r="33" spans="1:11" ht="15">
      <c r="A33" s="54"/>
      <c r="B33" s="54"/>
      <c r="C33" s="54"/>
      <c r="D33" s="54"/>
      <c r="E33" s="54"/>
      <c r="F33" s="54"/>
      <c r="G33" s="54"/>
      <c r="I33" s="54" t="s">
        <v>87</v>
      </c>
      <c r="J33" s="54"/>
      <c r="K33" s="54"/>
    </row>
  </sheetData>
  <mergeCells count="18">
    <mergeCell ref="C1:H1"/>
    <mergeCell ref="A2:J2"/>
    <mergeCell ref="A3:J3"/>
    <mergeCell ref="A5:J5"/>
    <mergeCell ref="A6:B6"/>
    <mergeCell ref="A32:K32"/>
    <mergeCell ref="A7:A9"/>
    <mergeCell ref="B7:B9"/>
    <mergeCell ref="C7:C9"/>
    <mergeCell ref="D7:H7"/>
    <mergeCell ref="J7:J9"/>
    <mergeCell ref="D8:D9"/>
    <mergeCell ref="E8:G8"/>
    <mergeCell ref="I7:I9"/>
    <mergeCell ref="B26:K28"/>
    <mergeCell ref="A31:K31"/>
    <mergeCell ref="K7:K9"/>
    <mergeCell ref="H8:H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8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J59"/>
  <sheetViews>
    <sheetView view="pageBreakPreview" topLeftCell="D16" zoomScaleNormal="70" zoomScaleSheetLayoutView="100" workbookViewId="0">
      <selection activeCell="G59" sqref="G59"/>
    </sheetView>
  </sheetViews>
  <sheetFormatPr defaultRowHeight="12.75"/>
  <cols>
    <col min="1" max="1" width="5.5703125" style="295" customWidth="1"/>
    <col min="2" max="2" width="14.42578125" style="295" customWidth="1"/>
    <col min="3" max="3" width="10.28515625" style="295" customWidth="1"/>
    <col min="4" max="4" width="8.42578125" style="295" customWidth="1"/>
    <col min="5" max="6" width="9.85546875" style="295" customWidth="1"/>
    <col min="7" max="7" width="10.85546875" style="295" customWidth="1"/>
    <col min="8" max="8" width="12.85546875" style="295" customWidth="1"/>
    <col min="9" max="9" width="8.7109375" style="281" customWidth="1"/>
    <col min="10" max="11" width="8" style="281" customWidth="1"/>
    <col min="12" max="12" width="8.140625" style="281" customWidth="1"/>
    <col min="13" max="13" width="9.140625" style="281" customWidth="1"/>
    <col min="14" max="14" width="8.140625" style="281" customWidth="1"/>
    <col min="15" max="15" width="8.42578125" style="281" customWidth="1"/>
    <col min="16" max="16" width="9" style="281" customWidth="1"/>
    <col min="17" max="18" width="8.85546875" style="281" customWidth="1"/>
    <col min="19" max="19" width="10.7109375" style="281" customWidth="1"/>
    <col min="20" max="25" width="14.140625" style="281" customWidth="1"/>
    <col min="26" max="27" width="9.140625" style="295"/>
    <col min="28" max="16384" width="9.140625" style="281"/>
  </cols>
  <sheetData>
    <row r="1" spans="1:36" ht="12.75" customHeight="1">
      <c r="G1" s="977"/>
      <c r="H1" s="977"/>
      <c r="I1" s="977"/>
      <c r="J1" s="295"/>
      <c r="K1" s="295"/>
      <c r="L1" s="295"/>
      <c r="M1" s="295"/>
      <c r="N1" s="295"/>
      <c r="O1" s="295"/>
      <c r="P1" s="295"/>
      <c r="Q1" s="1104" t="s">
        <v>538</v>
      </c>
      <c r="R1" s="1104"/>
      <c r="S1" s="1104"/>
      <c r="T1" s="1104"/>
      <c r="U1" s="761"/>
      <c r="V1" s="761"/>
      <c r="W1" s="779"/>
      <c r="X1" s="779"/>
      <c r="Y1" s="761"/>
    </row>
    <row r="2" spans="1:36" ht="15.7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758"/>
      <c r="V2" s="758"/>
      <c r="W2" s="776"/>
      <c r="X2" s="776"/>
      <c r="Y2" s="758"/>
    </row>
    <row r="3" spans="1:36" ht="18">
      <c r="A3" s="1102" t="s">
        <v>705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759"/>
      <c r="V3" s="759"/>
      <c r="W3" s="777"/>
      <c r="X3" s="777"/>
      <c r="Y3" s="759"/>
    </row>
    <row r="4" spans="1:36" ht="12.75" customHeight="1">
      <c r="A4" s="1100" t="s">
        <v>713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  <c r="U4" s="757"/>
      <c r="V4" s="757"/>
      <c r="W4" s="775"/>
      <c r="X4" s="775"/>
      <c r="Y4" s="757"/>
    </row>
    <row r="5" spans="1:36" s="282" customFormat="1" ht="7.5" customHeight="1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757"/>
      <c r="V5" s="757"/>
      <c r="W5" s="775"/>
      <c r="X5" s="775"/>
      <c r="Y5" s="757"/>
      <c r="Z5" s="361"/>
      <c r="AA5" s="361"/>
    </row>
    <row r="6" spans="1:36">
      <c r="A6" s="1103"/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3"/>
      <c r="T6" s="1103"/>
      <c r="U6" s="760"/>
      <c r="V6" s="760"/>
      <c r="W6" s="778"/>
      <c r="X6" s="778"/>
      <c r="Y6" s="760"/>
    </row>
    <row r="7" spans="1:36">
      <c r="A7" s="972" t="s">
        <v>922</v>
      </c>
      <c r="B7" s="972"/>
      <c r="H7" s="296"/>
      <c r="I7" s="295"/>
      <c r="J7" s="295"/>
      <c r="K7" s="295"/>
      <c r="L7" s="1096"/>
      <c r="M7" s="1096"/>
      <c r="N7" s="1096"/>
      <c r="O7" s="1096"/>
      <c r="P7" s="1096"/>
      <c r="Q7" s="1096"/>
      <c r="R7" s="1096"/>
      <c r="S7" s="1096"/>
      <c r="T7" s="1096"/>
      <c r="U7" s="755"/>
      <c r="V7" s="755"/>
      <c r="W7" s="773"/>
      <c r="X7" s="773"/>
      <c r="Y7" s="755"/>
    </row>
    <row r="8" spans="1:36" ht="24.75" customHeight="1">
      <c r="A8" s="976" t="s">
        <v>2</v>
      </c>
      <c r="B8" s="976" t="s">
        <v>3</v>
      </c>
      <c r="C8" s="969" t="s">
        <v>491</v>
      </c>
      <c r="D8" s="970"/>
      <c r="E8" s="970"/>
      <c r="F8" s="970"/>
      <c r="G8" s="971"/>
      <c r="H8" s="966" t="s">
        <v>88</v>
      </c>
      <c r="I8" s="969" t="s">
        <v>89</v>
      </c>
      <c r="J8" s="970"/>
      <c r="K8" s="970"/>
      <c r="L8" s="971"/>
      <c r="M8" s="976" t="s">
        <v>656</v>
      </c>
      <c r="N8" s="976"/>
      <c r="O8" s="976"/>
      <c r="P8" s="976"/>
      <c r="Q8" s="976"/>
      <c r="R8" s="976"/>
      <c r="S8" s="1099" t="s">
        <v>855</v>
      </c>
      <c r="T8" s="1099"/>
      <c r="U8" s="580"/>
      <c r="V8" s="580"/>
      <c r="W8" s="580"/>
      <c r="X8" s="580"/>
      <c r="Y8" s="580"/>
    </row>
    <row r="9" spans="1:36" ht="44.45" customHeight="1">
      <c r="A9" s="976"/>
      <c r="B9" s="976"/>
      <c r="C9" s="297" t="s">
        <v>5</v>
      </c>
      <c r="D9" s="297" t="s">
        <v>6</v>
      </c>
      <c r="E9" s="297" t="s">
        <v>361</v>
      </c>
      <c r="F9" s="298" t="s">
        <v>105</v>
      </c>
      <c r="G9" s="298" t="s">
        <v>231</v>
      </c>
      <c r="H9" s="1097"/>
      <c r="I9" s="351" t="s">
        <v>94</v>
      </c>
      <c r="J9" s="351" t="s">
        <v>22</v>
      </c>
      <c r="K9" s="351" t="s">
        <v>45</v>
      </c>
      <c r="L9" s="351" t="s">
        <v>692</v>
      </c>
      <c r="M9" s="359" t="s">
        <v>19</v>
      </c>
      <c r="N9" s="444" t="s">
        <v>957</v>
      </c>
      <c r="O9" s="444" t="s">
        <v>958</v>
      </c>
      <c r="P9" s="444" t="s">
        <v>959</v>
      </c>
      <c r="Q9" s="359" t="s">
        <v>660</v>
      </c>
      <c r="R9" s="359" t="s">
        <v>661</v>
      </c>
      <c r="S9" s="372" t="s">
        <v>869</v>
      </c>
      <c r="T9" s="372" t="s">
        <v>867</v>
      </c>
      <c r="U9" s="753"/>
      <c r="V9" s="753"/>
      <c r="W9" s="771"/>
      <c r="X9" s="771"/>
      <c r="Y9" s="753"/>
      <c r="Z9" s="642" t="s">
        <v>216</v>
      </c>
      <c r="AA9" s="643" t="s">
        <v>217</v>
      </c>
      <c r="AB9" s="641" t="s">
        <v>361</v>
      </c>
      <c r="AC9" s="643" t="s">
        <v>223</v>
      </c>
      <c r="AD9" s="127"/>
    </row>
    <row r="10" spans="1:36" s="283" customFormat="1">
      <c r="A10" s="366">
        <v>1</v>
      </c>
      <c r="B10" s="366">
        <v>2</v>
      </c>
      <c r="C10" s="366">
        <v>3</v>
      </c>
      <c r="D10" s="366">
        <v>4</v>
      </c>
      <c r="E10" s="366">
        <v>5</v>
      </c>
      <c r="F10" s="366">
        <v>6</v>
      </c>
      <c r="G10" s="366">
        <v>7</v>
      </c>
      <c r="H10" s="366">
        <v>8</v>
      </c>
      <c r="I10" s="366">
        <v>9</v>
      </c>
      <c r="J10" s="366">
        <v>10</v>
      </c>
      <c r="K10" s="366">
        <v>11</v>
      </c>
      <c r="L10" s="366">
        <v>12</v>
      </c>
      <c r="M10" s="366">
        <v>13</v>
      </c>
      <c r="N10" s="366">
        <v>14</v>
      </c>
      <c r="O10" s="366">
        <v>15</v>
      </c>
      <c r="P10" s="366">
        <v>16</v>
      </c>
      <c r="Q10" s="366">
        <v>17</v>
      </c>
      <c r="R10" s="366">
        <v>18</v>
      </c>
      <c r="S10" s="366">
        <v>19</v>
      </c>
      <c r="T10" s="366">
        <v>20</v>
      </c>
      <c r="U10" s="765"/>
      <c r="V10" s="765"/>
      <c r="W10" s="765"/>
      <c r="X10" s="765"/>
      <c r="Y10" s="765"/>
      <c r="Z10" s="562">
        <v>8</v>
      </c>
      <c r="AA10" s="562">
        <v>9</v>
      </c>
      <c r="AB10" s="563">
        <v>10</v>
      </c>
      <c r="AC10" s="562">
        <v>11</v>
      </c>
      <c r="AD10" s="783"/>
    </row>
    <row r="11" spans="1:36" ht="14.25">
      <c r="A11" s="299">
        <v>1</v>
      </c>
      <c r="B11" s="385" t="s">
        <v>889</v>
      </c>
      <c r="C11" s="488">
        <v>102849</v>
      </c>
      <c r="D11" s="388">
        <v>0</v>
      </c>
      <c r="E11" s="388">
        <v>0</v>
      </c>
      <c r="F11" s="488">
        <v>3044</v>
      </c>
      <c r="G11" s="388">
        <f>SUM(C11:F11)</f>
        <v>105893</v>
      </c>
      <c r="H11" s="423">
        <v>233</v>
      </c>
      <c r="I11" s="299">
        <f>G11*233*100/1000000</f>
        <v>2467.3069</v>
      </c>
      <c r="J11" s="299">
        <f>I11*0.3</f>
        <v>740.19206999999994</v>
      </c>
      <c r="K11" s="299">
        <f>I11-J11</f>
        <v>1727.11483</v>
      </c>
      <c r="L11" s="299">
        <v>0</v>
      </c>
      <c r="M11" s="525">
        <f>G11*H11*14/1000000</f>
        <v>345.42296599999997</v>
      </c>
      <c r="N11" s="525">
        <f>M11*0.5</f>
        <v>172.71148299999999</v>
      </c>
      <c r="O11" s="525">
        <f>M11*0.25</f>
        <v>86.355741499999993</v>
      </c>
      <c r="P11" s="525">
        <f>M11-N11-O11</f>
        <v>86.355741499999993</v>
      </c>
      <c r="Q11" s="300"/>
      <c r="R11" s="300"/>
      <c r="S11" s="300">
        <v>150</v>
      </c>
      <c r="T11" s="524">
        <v>42.190947990000005</v>
      </c>
      <c r="U11" s="524">
        <f>I11+M11</f>
        <v>2812.7298660000001</v>
      </c>
      <c r="V11" s="524">
        <f>U11*1500/100000</f>
        <v>42.190947990000005</v>
      </c>
      <c r="W11" s="524">
        <f>I11+M11</f>
        <v>2812.7298660000001</v>
      </c>
      <c r="X11" s="524">
        <f>W11*1500/100000</f>
        <v>42.190947990000005</v>
      </c>
      <c r="Y11" s="524"/>
      <c r="Z11" s="553">
        <v>97951</v>
      </c>
      <c r="AA11" s="388">
        <v>0</v>
      </c>
      <c r="AB11" s="388">
        <v>0</v>
      </c>
      <c r="AC11" s="553">
        <v>2899</v>
      </c>
      <c r="AD11" s="784">
        <f>SUM(Z11:AC11)</f>
        <v>100850</v>
      </c>
      <c r="AE11" s="763">
        <v>102849</v>
      </c>
      <c r="AF11" s="763">
        <v>0</v>
      </c>
      <c r="AG11" s="763">
        <v>0</v>
      </c>
      <c r="AH11" s="763">
        <v>3044</v>
      </c>
      <c r="AI11" s="281">
        <f>SUM(AE11:AH11)</f>
        <v>105893</v>
      </c>
      <c r="AJ11" s="281">
        <f>AI11/AD11*100</f>
        <v>105.00049578582053</v>
      </c>
    </row>
    <row r="12" spans="1:36" ht="14.25">
      <c r="A12" s="299">
        <v>2</v>
      </c>
      <c r="B12" s="385" t="s">
        <v>890</v>
      </c>
      <c r="C12" s="488">
        <v>134065</v>
      </c>
      <c r="D12" s="388">
        <v>0</v>
      </c>
      <c r="E12" s="388">
        <v>0</v>
      </c>
      <c r="F12" s="488">
        <v>4474</v>
      </c>
      <c r="G12" s="388">
        <f t="shared" ref="G12:G44" si="0">SUM(C12:F12)</f>
        <v>138539</v>
      </c>
      <c r="H12" s="423">
        <v>233</v>
      </c>
      <c r="I12" s="299">
        <f t="shared" ref="I12:I44" si="1">G12*233*100/1000000</f>
        <v>3227.9587000000001</v>
      </c>
      <c r="J12" s="299">
        <f t="shared" ref="J12:J44" si="2">I12*0.3</f>
        <v>968.38761</v>
      </c>
      <c r="K12" s="299">
        <f t="shared" ref="K12:K44" si="3">I12-J12</f>
        <v>2259.5710900000004</v>
      </c>
      <c r="L12" s="299">
        <v>0</v>
      </c>
      <c r="M12" s="525">
        <f t="shared" ref="M12:M43" si="4">G12*H12*14/1000000</f>
        <v>451.91421800000001</v>
      </c>
      <c r="N12" s="525">
        <f t="shared" ref="N12:N43" si="5">M12*0.5</f>
        <v>225.957109</v>
      </c>
      <c r="O12" s="525">
        <f t="shared" ref="O12:O43" si="6">M12*0.25</f>
        <v>112.9785545</v>
      </c>
      <c r="P12" s="525">
        <f t="shared" ref="P12:P43" si="7">M12-N12-O12</f>
        <v>112.9785545</v>
      </c>
      <c r="Q12" s="300"/>
      <c r="R12" s="300"/>
      <c r="S12" s="300">
        <v>150</v>
      </c>
      <c r="T12" s="524">
        <v>55.19809377</v>
      </c>
      <c r="U12" s="524">
        <f t="shared" ref="U12:U44" si="8">I12+M12</f>
        <v>3679.872918</v>
      </c>
      <c r="V12" s="524">
        <f t="shared" ref="V12:V44" si="9">U12*1500/100000</f>
        <v>55.19809377</v>
      </c>
      <c r="W12" s="524">
        <f t="shared" ref="W12:W44" si="10">I12+M12</f>
        <v>3679.872918</v>
      </c>
      <c r="X12" s="524">
        <f t="shared" ref="X12:X44" si="11">W12*1500/100000</f>
        <v>55.19809377</v>
      </c>
      <c r="Y12" s="524"/>
      <c r="Z12" s="553">
        <v>127681</v>
      </c>
      <c r="AA12" s="388">
        <v>0</v>
      </c>
      <c r="AB12" s="388">
        <v>0</v>
      </c>
      <c r="AC12" s="553">
        <v>4261</v>
      </c>
      <c r="AD12" s="784">
        <f t="shared" ref="AD12:AD44" si="12">SUM(Z12:AC12)</f>
        <v>131942</v>
      </c>
      <c r="AE12" s="763">
        <v>134065</v>
      </c>
      <c r="AF12" s="763">
        <v>0</v>
      </c>
      <c r="AG12" s="763">
        <v>0</v>
      </c>
      <c r="AH12" s="763">
        <v>4474</v>
      </c>
      <c r="AI12" s="281">
        <f t="shared" ref="AI12:AI44" si="13">SUM(AE12:AH12)</f>
        <v>138539</v>
      </c>
      <c r="AJ12" s="281">
        <f t="shared" ref="AJ12:AJ44" si="14">AI12/AD12*100</f>
        <v>104.99992420912218</v>
      </c>
    </row>
    <row r="13" spans="1:36" ht="14.25">
      <c r="A13" s="299">
        <v>3</v>
      </c>
      <c r="B13" s="385" t="s">
        <v>891</v>
      </c>
      <c r="C13" s="488">
        <v>134792</v>
      </c>
      <c r="D13" s="388">
        <v>0</v>
      </c>
      <c r="E13" s="388">
        <v>8593</v>
      </c>
      <c r="F13" s="488">
        <v>511</v>
      </c>
      <c r="G13" s="388">
        <f t="shared" si="0"/>
        <v>143896</v>
      </c>
      <c r="H13" s="423">
        <v>233</v>
      </c>
      <c r="I13" s="299">
        <f t="shared" si="1"/>
        <v>3352.7768000000001</v>
      </c>
      <c r="J13" s="299">
        <f t="shared" si="2"/>
        <v>1005.83304</v>
      </c>
      <c r="K13" s="299">
        <f t="shared" si="3"/>
        <v>2346.9437600000001</v>
      </c>
      <c r="L13" s="299">
        <v>0</v>
      </c>
      <c r="M13" s="525">
        <f t="shared" si="4"/>
        <v>469.38875200000001</v>
      </c>
      <c r="N13" s="525">
        <f t="shared" si="5"/>
        <v>234.69437600000001</v>
      </c>
      <c r="O13" s="525">
        <f t="shared" si="6"/>
        <v>117.347188</v>
      </c>
      <c r="P13" s="525">
        <f t="shared" si="7"/>
        <v>117.347188</v>
      </c>
      <c r="Q13" s="300"/>
      <c r="R13" s="300"/>
      <c r="S13" s="300">
        <v>150</v>
      </c>
      <c r="T13" s="524">
        <v>57.332483279999998</v>
      </c>
      <c r="U13" s="524">
        <f t="shared" si="8"/>
        <v>3822.1655519999999</v>
      </c>
      <c r="V13" s="524">
        <f t="shared" si="9"/>
        <v>57.332483279999998</v>
      </c>
      <c r="W13" s="524">
        <f t="shared" si="10"/>
        <v>3822.1655519999999</v>
      </c>
      <c r="X13" s="524">
        <f t="shared" si="11"/>
        <v>57.332483279999998</v>
      </c>
      <c r="Y13" s="524"/>
      <c r="Z13" s="553">
        <v>128373</v>
      </c>
      <c r="AA13" s="388">
        <v>0</v>
      </c>
      <c r="AB13" s="388">
        <v>8184</v>
      </c>
      <c r="AC13" s="553">
        <v>487</v>
      </c>
      <c r="AD13" s="784">
        <f t="shared" si="12"/>
        <v>137044</v>
      </c>
      <c r="AE13" s="763">
        <v>134792</v>
      </c>
      <c r="AF13" s="763">
        <v>0</v>
      </c>
      <c r="AG13" s="763">
        <v>8593</v>
      </c>
      <c r="AH13" s="763">
        <v>511</v>
      </c>
      <c r="AI13" s="281">
        <f t="shared" si="13"/>
        <v>143896</v>
      </c>
      <c r="AJ13" s="281">
        <f t="shared" si="14"/>
        <v>104.99985406146931</v>
      </c>
    </row>
    <row r="14" spans="1:36" ht="14.25">
      <c r="A14" s="299">
        <v>4</v>
      </c>
      <c r="B14" s="385" t="s">
        <v>892</v>
      </c>
      <c r="C14" s="488">
        <v>80993</v>
      </c>
      <c r="D14" s="388">
        <v>0</v>
      </c>
      <c r="E14" s="388">
        <v>0</v>
      </c>
      <c r="F14" s="488">
        <v>4059</v>
      </c>
      <c r="G14" s="388">
        <f t="shared" si="0"/>
        <v>85052</v>
      </c>
      <c r="H14" s="423">
        <v>233</v>
      </c>
      <c r="I14" s="299">
        <f t="shared" si="1"/>
        <v>1981.7116000000001</v>
      </c>
      <c r="J14" s="299">
        <f t="shared" si="2"/>
        <v>594.51347999999996</v>
      </c>
      <c r="K14" s="299">
        <f t="shared" si="3"/>
        <v>1387.19812</v>
      </c>
      <c r="L14" s="299">
        <v>0</v>
      </c>
      <c r="M14" s="525">
        <f t="shared" si="4"/>
        <v>277.43962399999998</v>
      </c>
      <c r="N14" s="525">
        <f t="shared" si="5"/>
        <v>138.71981199999999</v>
      </c>
      <c r="O14" s="525">
        <f t="shared" si="6"/>
        <v>69.359905999999995</v>
      </c>
      <c r="P14" s="525">
        <f t="shared" si="7"/>
        <v>69.359905999999995</v>
      </c>
      <c r="Q14" s="300"/>
      <c r="R14" s="300"/>
      <c r="S14" s="300">
        <v>150</v>
      </c>
      <c r="T14" s="524">
        <v>33.88726836</v>
      </c>
      <c r="U14" s="524">
        <f t="shared" si="8"/>
        <v>2259.1512240000002</v>
      </c>
      <c r="V14" s="524">
        <f t="shared" si="9"/>
        <v>33.88726836</v>
      </c>
      <c r="W14" s="524">
        <f t="shared" si="10"/>
        <v>2259.1512240000002</v>
      </c>
      <c r="X14" s="524">
        <f t="shared" si="11"/>
        <v>33.88726836</v>
      </c>
      <c r="Y14" s="524"/>
      <c r="Z14" s="299">
        <v>77136</v>
      </c>
      <c r="AA14" s="388">
        <v>0</v>
      </c>
      <c r="AB14" s="388">
        <v>0</v>
      </c>
      <c r="AC14" s="299">
        <v>3866</v>
      </c>
      <c r="AD14" s="784">
        <f t="shared" si="12"/>
        <v>81002</v>
      </c>
      <c r="AE14" s="763">
        <v>80993</v>
      </c>
      <c r="AF14" s="763">
        <v>0</v>
      </c>
      <c r="AG14" s="763">
        <v>0</v>
      </c>
      <c r="AH14" s="763">
        <v>4059</v>
      </c>
      <c r="AI14" s="281">
        <f t="shared" si="13"/>
        <v>85052</v>
      </c>
      <c r="AJ14" s="281">
        <f t="shared" si="14"/>
        <v>104.99987654625811</v>
      </c>
    </row>
    <row r="15" spans="1:36" ht="14.25">
      <c r="A15" s="299">
        <v>5</v>
      </c>
      <c r="B15" s="385" t="s">
        <v>893</v>
      </c>
      <c r="C15" s="488">
        <v>212619</v>
      </c>
      <c r="D15" s="388">
        <v>0</v>
      </c>
      <c r="E15" s="388">
        <v>0</v>
      </c>
      <c r="F15" s="488">
        <v>10537</v>
      </c>
      <c r="G15" s="388">
        <f t="shared" si="0"/>
        <v>223156</v>
      </c>
      <c r="H15" s="423">
        <v>233</v>
      </c>
      <c r="I15" s="299">
        <f t="shared" si="1"/>
        <v>5199.5348000000004</v>
      </c>
      <c r="J15" s="299">
        <f t="shared" si="2"/>
        <v>1559.8604400000002</v>
      </c>
      <c r="K15" s="299">
        <f t="shared" si="3"/>
        <v>3639.67436</v>
      </c>
      <c r="L15" s="299">
        <v>0</v>
      </c>
      <c r="M15" s="525">
        <f t="shared" si="4"/>
        <v>727.93487200000004</v>
      </c>
      <c r="N15" s="525">
        <f t="shared" si="5"/>
        <v>363.96743600000002</v>
      </c>
      <c r="O15" s="525">
        <f t="shared" si="6"/>
        <v>181.98371800000001</v>
      </c>
      <c r="P15" s="525">
        <f t="shared" si="7"/>
        <v>181.98371800000001</v>
      </c>
      <c r="Q15" s="300"/>
      <c r="R15" s="300"/>
      <c r="S15" s="300">
        <v>150</v>
      </c>
      <c r="T15" s="524">
        <v>88.912045079999999</v>
      </c>
      <c r="U15" s="524">
        <f t="shared" si="8"/>
        <v>5927.4696720000002</v>
      </c>
      <c r="V15" s="524">
        <f t="shared" si="9"/>
        <v>88.912045079999999</v>
      </c>
      <c r="W15" s="524">
        <f t="shared" si="10"/>
        <v>5927.4696720000002</v>
      </c>
      <c r="X15" s="524">
        <f t="shared" si="11"/>
        <v>88.912045079999999</v>
      </c>
      <c r="Y15" s="524"/>
      <c r="Z15" s="553">
        <v>202494</v>
      </c>
      <c r="AA15" s="388">
        <v>0</v>
      </c>
      <c r="AB15" s="388">
        <v>0</v>
      </c>
      <c r="AC15" s="553">
        <v>10035</v>
      </c>
      <c r="AD15" s="784">
        <f t="shared" si="12"/>
        <v>212529</v>
      </c>
      <c r="AE15" s="763">
        <v>212619</v>
      </c>
      <c r="AF15" s="763">
        <v>0</v>
      </c>
      <c r="AG15" s="763">
        <v>0</v>
      </c>
      <c r="AH15" s="763">
        <v>10537</v>
      </c>
      <c r="AI15" s="281">
        <f t="shared" si="13"/>
        <v>223156</v>
      </c>
      <c r="AJ15" s="281">
        <f t="shared" si="14"/>
        <v>105.00025878821245</v>
      </c>
    </row>
    <row r="16" spans="1:36" ht="14.25">
      <c r="A16" s="299">
        <v>6</v>
      </c>
      <c r="B16" s="385" t="s">
        <v>894</v>
      </c>
      <c r="C16" s="488">
        <v>94849</v>
      </c>
      <c r="D16" s="388">
        <v>0</v>
      </c>
      <c r="E16" s="388">
        <v>0</v>
      </c>
      <c r="F16" s="488">
        <v>1831</v>
      </c>
      <c r="G16" s="388">
        <f t="shared" si="0"/>
        <v>96680</v>
      </c>
      <c r="H16" s="423">
        <v>233</v>
      </c>
      <c r="I16" s="299">
        <f t="shared" si="1"/>
        <v>2252.6439999999998</v>
      </c>
      <c r="J16" s="299">
        <f t="shared" si="2"/>
        <v>675.79319999999996</v>
      </c>
      <c r="K16" s="299">
        <f t="shared" si="3"/>
        <v>1576.8507999999997</v>
      </c>
      <c r="L16" s="299">
        <v>0</v>
      </c>
      <c r="M16" s="525">
        <f t="shared" si="4"/>
        <v>315.37016</v>
      </c>
      <c r="N16" s="525">
        <f t="shared" si="5"/>
        <v>157.68508</v>
      </c>
      <c r="O16" s="525">
        <f t="shared" si="6"/>
        <v>78.84254</v>
      </c>
      <c r="P16" s="525">
        <f t="shared" si="7"/>
        <v>78.84254</v>
      </c>
      <c r="Q16" s="300"/>
      <c r="R16" s="300"/>
      <c r="S16" s="300">
        <v>150</v>
      </c>
      <c r="T16" s="524">
        <v>38.520212399999998</v>
      </c>
      <c r="U16" s="524">
        <f t="shared" si="8"/>
        <v>2568.0141599999997</v>
      </c>
      <c r="V16" s="524">
        <f t="shared" si="9"/>
        <v>38.520212399999998</v>
      </c>
      <c r="W16" s="524">
        <f t="shared" si="10"/>
        <v>2568.0141599999997</v>
      </c>
      <c r="X16" s="524">
        <f t="shared" si="11"/>
        <v>38.520212399999998</v>
      </c>
      <c r="Y16" s="524"/>
      <c r="Z16" s="553">
        <v>90332</v>
      </c>
      <c r="AA16" s="388">
        <v>0</v>
      </c>
      <c r="AB16" s="388">
        <v>0</v>
      </c>
      <c r="AC16" s="553">
        <v>1744</v>
      </c>
      <c r="AD16" s="784">
        <f t="shared" si="12"/>
        <v>92076</v>
      </c>
      <c r="AE16" s="763">
        <v>94849</v>
      </c>
      <c r="AF16" s="763">
        <v>0</v>
      </c>
      <c r="AG16" s="763">
        <v>0</v>
      </c>
      <c r="AH16" s="763">
        <v>1831</v>
      </c>
      <c r="AI16" s="281">
        <f t="shared" si="13"/>
        <v>96680</v>
      </c>
      <c r="AJ16" s="281">
        <f t="shared" si="14"/>
        <v>105.00021721186845</v>
      </c>
    </row>
    <row r="17" spans="1:36" ht="14.25">
      <c r="A17" s="299">
        <v>7</v>
      </c>
      <c r="B17" s="385" t="s">
        <v>895</v>
      </c>
      <c r="C17" s="488">
        <v>145922</v>
      </c>
      <c r="D17" s="388">
        <v>0</v>
      </c>
      <c r="E17" s="388">
        <v>0</v>
      </c>
      <c r="F17" s="488">
        <v>2796</v>
      </c>
      <c r="G17" s="388">
        <f t="shared" si="0"/>
        <v>148718</v>
      </c>
      <c r="H17" s="423">
        <v>233</v>
      </c>
      <c r="I17" s="299">
        <f t="shared" si="1"/>
        <v>3465.1293999999998</v>
      </c>
      <c r="J17" s="299">
        <f t="shared" si="2"/>
        <v>1039.53882</v>
      </c>
      <c r="K17" s="299">
        <f t="shared" si="3"/>
        <v>2425.59058</v>
      </c>
      <c r="L17" s="299">
        <v>0</v>
      </c>
      <c r="M17" s="525">
        <f t="shared" si="4"/>
        <v>485.11811599999999</v>
      </c>
      <c r="N17" s="525">
        <f t="shared" si="5"/>
        <v>242.55905799999999</v>
      </c>
      <c r="O17" s="525">
        <f t="shared" si="6"/>
        <v>121.279529</v>
      </c>
      <c r="P17" s="525">
        <f t="shared" si="7"/>
        <v>121.279529</v>
      </c>
      <c r="Q17" s="300"/>
      <c r="R17" s="300"/>
      <c r="S17" s="300">
        <v>150</v>
      </c>
      <c r="T17" s="524">
        <v>59.253712740000005</v>
      </c>
      <c r="U17" s="524">
        <f t="shared" si="8"/>
        <v>3950.2475159999999</v>
      </c>
      <c r="V17" s="524">
        <f t="shared" si="9"/>
        <v>59.253712740000005</v>
      </c>
      <c r="W17" s="524">
        <f t="shared" si="10"/>
        <v>3950.2475159999999</v>
      </c>
      <c r="X17" s="524">
        <f t="shared" si="11"/>
        <v>59.253712740000005</v>
      </c>
      <c r="Y17" s="524"/>
      <c r="Z17" s="553">
        <v>138973</v>
      </c>
      <c r="AA17" s="388">
        <v>0</v>
      </c>
      <c r="AB17" s="388">
        <v>0</v>
      </c>
      <c r="AC17" s="553">
        <v>2663</v>
      </c>
      <c r="AD17" s="784">
        <f t="shared" si="12"/>
        <v>141636</v>
      </c>
      <c r="AE17" s="763">
        <v>145922</v>
      </c>
      <c r="AF17" s="763">
        <v>0</v>
      </c>
      <c r="AG17" s="763">
        <v>0</v>
      </c>
      <c r="AH17" s="763">
        <v>2796</v>
      </c>
      <c r="AI17" s="281">
        <f t="shared" si="13"/>
        <v>148718</v>
      </c>
      <c r="AJ17" s="281">
        <f t="shared" si="14"/>
        <v>105.00014120703776</v>
      </c>
    </row>
    <row r="18" spans="1:36" ht="14.25">
      <c r="A18" s="299">
        <v>8</v>
      </c>
      <c r="B18" s="385" t="s">
        <v>896</v>
      </c>
      <c r="C18" s="488">
        <v>102237</v>
      </c>
      <c r="D18" s="388">
        <v>0</v>
      </c>
      <c r="E18" s="388">
        <v>0</v>
      </c>
      <c r="F18" s="488">
        <v>929</v>
      </c>
      <c r="G18" s="388">
        <f t="shared" si="0"/>
        <v>103166</v>
      </c>
      <c r="H18" s="423">
        <v>233</v>
      </c>
      <c r="I18" s="299">
        <f t="shared" si="1"/>
        <v>2403.7678000000001</v>
      </c>
      <c r="J18" s="299">
        <f t="shared" si="2"/>
        <v>721.13034000000005</v>
      </c>
      <c r="K18" s="299">
        <f t="shared" si="3"/>
        <v>1682.6374599999999</v>
      </c>
      <c r="L18" s="299">
        <v>0</v>
      </c>
      <c r="M18" s="525">
        <f t="shared" si="4"/>
        <v>336.527492</v>
      </c>
      <c r="N18" s="525">
        <f t="shared" si="5"/>
        <v>168.263746</v>
      </c>
      <c r="O18" s="525">
        <f t="shared" si="6"/>
        <v>84.131872999999999</v>
      </c>
      <c r="P18" s="525">
        <f t="shared" si="7"/>
        <v>84.131872999999999</v>
      </c>
      <c r="Q18" s="300"/>
      <c r="R18" s="300"/>
      <c r="S18" s="300">
        <v>150</v>
      </c>
      <c r="T18" s="524">
        <v>41.104429380000006</v>
      </c>
      <c r="U18" s="524">
        <f t="shared" si="8"/>
        <v>2740.2952920000002</v>
      </c>
      <c r="V18" s="524">
        <f t="shared" si="9"/>
        <v>41.104429380000006</v>
      </c>
      <c r="W18" s="524">
        <f t="shared" si="10"/>
        <v>2740.2952920000002</v>
      </c>
      <c r="X18" s="524">
        <f t="shared" si="11"/>
        <v>41.104429380000006</v>
      </c>
      <c r="Y18" s="524"/>
      <c r="Z18" s="553">
        <v>97369</v>
      </c>
      <c r="AA18" s="388">
        <v>0</v>
      </c>
      <c r="AB18" s="388">
        <v>0</v>
      </c>
      <c r="AC18" s="553">
        <v>885</v>
      </c>
      <c r="AD18" s="784">
        <f t="shared" si="12"/>
        <v>98254</v>
      </c>
      <c r="AE18" s="763">
        <v>102237</v>
      </c>
      <c r="AF18" s="763">
        <v>0</v>
      </c>
      <c r="AG18" s="763">
        <v>0</v>
      </c>
      <c r="AH18" s="763">
        <v>929</v>
      </c>
      <c r="AI18" s="281">
        <f t="shared" si="13"/>
        <v>103166</v>
      </c>
      <c r="AJ18" s="281">
        <f t="shared" si="14"/>
        <v>104.99928756081178</v>
      </c>
    </row>
    <row r="19" spans="1:36" ht="14.25">
      <c r="A19" s="299">
        <v>9</v>
      </c>
      <c r="B19" s="385" t="s">
        <v>897</v>
      </c>
      <c r="C19" s="488">
        <v>64519</v>
      </c>
      <c r="D19" s="388">
        <v>0</v>
      </c>
      <c r="E19" s="388">
        <v>0</v>
      </c>
      <c r="F19" s="488">
        <v>1300</v>
      </c>
      <c r="G19" s="388">
        <f t="shared" si="0"/>
        <v>65819</v>
      </c>
      <c r="H19" s="423">
        <v>233</v>
      </c>
      <c r="I19" s="299">
        <f t="shared" si="1"/>
        <v>1533.5826999999999</v>
      </c>
      <c r="J19" s="299">
        <f t="shared" si="2"/>
        <v>460.07480999999996</v>
      </c>
      <c r="K19" s="299">
        <f t="shared" si="3"/>
        <v>1073.5078899999999</v>
      </c>
      <c r="L19" s="299">
        <v>0</v>
      </c>
      <c r="M19" s="525">
        <f t="shared" si="4"/>
        <v>214.70157800000001</v>
      </c>
      <c r="N19" s="525">
        <f t="shared" si="5"/>
        <v>107.35078900000001</v>
      </c>
      <c r="O19" s="525">
        <f t="shared" si="6"/>
        <v>53.675394500000003</v>
      </c>
      <c r="P19" s="525">
        <f t="shared" si="7"/>
        <v>53.675394500000003</v>
      </c>
      <c r="Q19" s="300"/>
      <c r="R19" s="300"/>
      <c r="S19" s="300">
        <v>150</v>
      </c>
      <c r="T19" s="524">
        <v>26.224264169999998</v>
      </c>
      <c r="U19" s="524">
        <f t="shared" si="8"/>
        <v>1748.2842779999999</v>
      </c>
      <c r="V19" s="524">
        <f t="shared" si="9"/>
        <v>26.224264169999998</v>
      </c>
      <c r="W19" s="524">
        <f t="shared" si="10"/>
        <v>1748.2842779999999</v>
      </c>
      <c r="X19" s="524">
        <f t="shared" si="11"/>
        <v>26.224264169999998</v>
      </c>
      <c r="Y19" s="524"/>
      <c r="Z19" s="553">
        <v>61447</v>
      </c>
      <c r="AA19" s="388">
        <v>0</v>
      </c>
      <c r="AB19" s="388">
        <v>0</v>
      </c>
      <c r="AC19" s="553">
        <v>1238</v>
      </c>
      <c r="AD19" s="784">
        <f t="shared" si="12"/>
        <v>62685</v>
      </c>
      <c r="AE19" s="763">
        <v>64519</v>
      </c>
      <c r="AF19" s="763">
        <v>0</v>
      </c>
      <c r="AG19" s="763">
        <v>0</v>
      </c>
      <c r="AH19" s="763">
        <v>1300</v>
      </c>
      <c r="AI19" s="281">
        <f t="shared" si="13"/>
        <v>65819</v>
      </c>
      <c r="AJ19" s="281">
        <f t="shared" si="14"/>
        <v>104.99960118050571</v>
      </c>
    </row>
    <row r="20" spans="1:36" ht="14.25">
      <c r="A20" s="299">
        <v>10</v>
      </c>
      <c r="B20" s="385" t="s">
        <v>898</v>
      </c>
      <c r="C20" s="488">
        <v>70216</v>
      </c>
      <c r="D20" s="388">
        <v>0</v>
      </c>
      <c r="E20" s="388">
        <v>0</v>
      </c>
      <c r="F20" s="488">
        <v>1449</v>
      </c>
      <c r="G20" s="388">
        <f t="shared" si="0"/>
        <v>71665</v>
      </c>
      <c r="H20" s="423">
        <v>233</v>
      </c>
      <c r="I20" s="299">
        <f t="shared" si="1"/>
        <v>1669.7945</v>
      </c>
      <c r="J20" s="299">
        <f t="shared" si="2"/>
        <v>500.93834999999996</v>
      </c>
      <c r="K20" s="299">
        <f t="shared" si="3"/>
        <v>1168.8561500000001</v>
      </c>
      <c r="L20" s="299">
        <v>0</v>
      </c>
      <c r="M20" s="525">
        <f t="shared" si="4"/>
        <v>233.77123</v>
      </c>
      <c r="N20" s="525">
        <f t="shared" si="5"/>
        <v>116.885615</v>
      </c>
      <c r="O20" s="525">
        <f t="shared" si="6"/>
        <v>58.442807500000001</v>
      </c>
      <c r="P20" s="525">
        <f t="shared" si="7"/>
        <v>58.442807500000001</v>
      </c>
      <c r="Q20" s="300"/>
      <c r="R20" s="300"/>
      <c r="S20" s="300">
        <v>150</v>
      </c>
      <c r="T20" s="524">
        <v>28.553485950000002</v>
      </c>
      <c r="U20" s="524">
        <f t="shared" si="8"/>
        <v>1903.56573</v>
      </c>
      <c r="V20" s="524">
        <f t="shared" si="9"/>
        <v>28.553485950000002</v>
      </c>
      <c r="W20" s="524">
        <f t="shared" si="10"/>
        <v>1903.56573</v>
      </c>
      <c r="X20" s="524">
        <f t="shared" si="11"/>
        <v>28.553485950000002</v>
      </c>
      <c r="Y20" s="524"/>
      <c r="Z20" s="553">
        <v>66872</v>
      </c>
      <c r="AA20" s="388">
        <v>0</v>
      </c>
      <c r="AB20" s="388">
        <v>0</v>
      </c>
      <c r="AC20" s="553">
        <v>1380</v>
      </c>
      <c r="AD20" s="784">
        <f t="shared" si="12"/>
        <v>68252</v>
      </c>
      <c r="AE20" s="763">
        <v>70216</v>
      </c>
      <c r="AF20" s="763">
        <v>0</v>
      </c>
      <c r="AG20" s="763">
        <v>0</v>
      </c>
      <c r="AH20" s="763">
        <v>1449</v>
      </c>
      <c r="AI20" s="281">
        <f t="shared" si="13"/>
        <v>71665</v>
      </c>
      <c r="AJ20" s="281">
        <f t="shared" si="14"/>
        <v>105.00058606341207</v>
      </c>
    </row>
    <row r="21" spans="1:36" ht="14.25">
      <c r="A21" s="299">
        <v>11</v>
      </c>
      <c r="B21" s="385" t="s">
        <v>899</v>
      </c>
      <c r="C21" s="488">
        <v>91453</v>
      </c>
      <c r="D21" s="388">
        <v>0</v>
      </c>
      <c r="E21" s="388">
        <v>0</v>
      </c>
      <c r="F21" s="488">
        <v>1634</v>
      </c>
      <c r="G21" s="388">
        <f t="shared" si="0"/>
        <v>93087</v>
      </c>
      <c r="H21" s="423">
        <v>233</v>
      </c>
      <c r="I21" s="299">
        <f t="shared" si="1"/>
        <v>2168.9270999999999</v>
      </c>
      <c r="J21" s="299">
        <f t="shared" si="2"/>
        <v>650.6781299999999</v>
      </c>
      <c r="K21" s="299">
        <f t="shared" si="3"/>
        <v>1518.2489700000001</v>
      </c>
      <c r="L21" s="299">
        <v>0</v>
      </c>
      <c r="M21" s="525">
        <f t="shared" si="4"/>
        <v>303.64979399999999</v>
      </c>
      <c r="N21" s="525">
        <f t="shared" si="5"/>
        <v>151.82489699999999</v>
      </c>
      <c r="O21" s="525">
        <f t="shared" si="6"/>
        <v>75.912448499999996</v>
      </c>
      <c r="P21" s="525">
        <f t="shared" si="7"/>
        <v>75.912448499999996</v>
      </c>
      <c r="Q21" s="300"/>
      <c r="R21" s="300"/>
      <c r="S21" s="300">
        <v>150</v>
      </c>
      <c r="T21" s="524">
        <v>37.088653409999992</v>
      </c>
      <c r="U21" s="524">
        <f t="shared" si="8"/>
        <v>2472.5768939999998</v>
      </c>
      <c r="V21" s="524">
        <f t="shared" si="9"/>
        <v>37.088653409999992</v>
      </c>
      <c r="W21" s="524">
        <f t="shared" si="10"/>
        <v>2472.5768939999998</v>
      </c>
      <c r="X21" s="524">
        <f t="shared" si="11"/>
        <v>37.088653409999992</v>
      </c>
      <c r="Y21" s="524"/>
      <c r="Z21" s="553">
        <v>87098</v>
      </c>
      <c r="AA21" s="388">
        <v>0</v>
      </c>
      <c r="AB21" s="388">
        <v>0</v>
      </c>
      <c r="AC21" s="553">
        <v>1556</v>
      </c>
      <c r="AD21" s="784">
        <f t="shared" si="12"/>
        <v>88654</v>
      </c>
      <c r="AE21" s="763">
        <v>91453</v>
      </c>
      <c r="AF21" s="763">
        <v>0</v>
      </c>
      <c r="AG21" s="763">
        <v>0</v>
      </c>
      <c r="AH21" s="763">
        <v>1634</v>
      </c>
      <c r="AI21" s="281">
        <f t="shared" si="13"/>
        <v>93087</v>
      </c>
      <c r="AJ21" s="281">
        <f t="shared" si="14"/>
        <v>105.00033839420668</v>
      </c>
    </row>
    <row r="22" spans="1:36" ht="14.25">
      <c r="A22" s="299">
        <v>12</v>
      </c>
      <c r="B22" s="385" t="s">
        <v>900</v>
      </c>
      <c r="C22" s="488">
        <v>75090</v>
      </c>
      <c r="D22" s="388">
        <v>0</v>
      </c>
      <c r="E22" s="388">
        <v>0</v>
      </c>
      <c r="F22" s="488">
        <v>1330</v>
      </c>
      <c r="G22" s="388">
        <f t="shared" si="0"/>
        <v>76420</v>
      </c>
      <c r="H22" s="423">
        <v>233</v>
      </c>
      <c r="I22" s="299">
        <f t="shared" si="1"/>
        <v>1780.586</v>
      </c>
      <c r="J22" s="299">
        <f t="shared" si="2"/>
        <v>534.17579999999998</v>
      </c>
      <c r="K22" s="299">
        <f t="shared" si="3"/>
        <v>1246.4102</v>
      </c>
      <c r="L22" s="299">
        <v>0</v>
      </c>
      <c r="M22" s="525">
        <f t="shared" si="4"/>
        <v>249.28203999999999</v>
      </c>
      <c r="N22" s="525">
        <f t="shared" si="5"/>
        <v>124.64102</v>
      </c>
      <c r="O22" s="525">
        <f t="shared" si="6"/>
        <v>62.320509999999999</v>
      </c>
      <c r="P22" s="525">
        <f t="shared" si="7"/>
        <v>62.320509999999999</v>
      </c>
      <c r="Q22" s="300"/>
      <c r="R22" s="300"/>
      <c r="S22" s="300">
        <v>150</v>
      </c>
      <c r="T22" s="524">
        <v>30.4480206</v>
      </c>
      <c r="U22" s="524">
        <f t="shared" si="8"/>
        <v>2029.8680400000001</v>
      </c>
      <c r="V22" s="524">
        <f t="shared" si="9"/>
        <v>30.4480206</v>
      </c>
      <c r="W22" s="524">
        <f t="shared" si="10"/>
        <v>2029.8680400000001</v>
      </c>
      <c r="X22" s="524">
        <f t="shared" si="11"/>
        <v>30.4480206</v>
      </c>
      <c r="Y22" s="524"/>
      <c r="Z22" s="553">
        <v>71514</v>
      </c>
      <c r="AA22" s="388">
        <v>0</v>
      </c>
      <c r="AB22" s="388">
        <v>0</v>
      </c>
      <c r="AC22" s="553">
        <v>1267</v>
      </c>
      <c r="AD22" s="784">
        <f t="shared" si="12"/>
        <v>72781</v>
      </c>
      <c r="AE22" s="763">
        <v>75090</v>
      </c>
      <c r="AF22" s="763">
        <v>0</v>
      </c>
      <c r="AG22" s="763">
        <v>0</v>
      </c>
      <c r="AH22" s="763">
        <v>1330</v>
      </c>
      <c r="AI22" s="281">
        <f t="shared" si="13"/>
        <v>76420</v>
      </c>
      <c r="AJ22" s="281">
        <f t="shared" si="14"/>
        <v>104.99993130075156</v>
      </c>
    </row>
    <row r="23" spans="1:36" ht="14.25">
      <c r="A23" s="299">
        <v>13</v>
      </c>
      <c r="B23" s="385" t="s">
        <v>901</v>
      </c>
      <c r="C23" s="488">
        <v>65006</v>
      </c>
      <c r="D23" s="388">
        <v>0</v>
      </c>
      <c r="E23" s="388">
        <v>0</v>
      </c>
      <c r="F23" s="488">
        <v>2373</v>
      </c>
      <c r="G23" s="388">
        <f t="shared" si="0"/>
        <v>67379</v>
      </c>
      <c r="H23" s="423">
        <v>233</v>
      </c>
      <c r="I23" s="299">
        <f t="shared" si="1"/>
        <v>1569.9306999999999</v>
      </c>
      <c r="J23" s="299">
        <f t="shared" si="2"/>
        <v>470.97920999999997</v>
      </c>
      <c r="K23" s="299">
        <f t="shared" si="3"/>
        <v>1098.9514899999999</v>
      </c>
      <c r="L23" s="299">
        <v>0</v>
      </c>
      <c r="M23" s="525">
        <f t="shared" si="4"/>
        <v>219.79029800000001</v>
      </c>
      <c r="N23" s="525">
        <f t="shared" si="5"/>
        <v>109.895149</v>
      </c>
      <c r="O23" s="525">
        <f t="shared" si="6"/>
        <v>54.947574500000002</v>
      </c>
      <c r="P23" s="525">
        <f t="shared" si="7"/>
        <v>54.947574500000002</v>
      </c>
      <c r="Q23" s="300"/>
      <c r="R23" s="300"/>
      <c r="S23" s="300">
        <v>150</v>
      </c>
      <c r="T23" s="524">
        <v>26.845814969999996</v>
      </c>
      <c r="U23" s="524">
        <f t="shared" si="8"/>
        <v>1789.7209979999998</v>
      </c>
      <c r="V23" s="524">
        <f t="shared" si="9"/>
        <v>26.845814969999996</v>
      </c>
      <c r="W23" s="524">
        <f t="shared" si="10"/>
        <v>1789.7209979999998</v>
      </c>
      <c r="X23" s="524">
        <f t="shared" si="11"/>
        <v>26.845814969999996</v>
      </c>
      <c r="Y23" s="524"/>
      <c r="Z23" s="553">
        <v>61910</v>
      </c>
      <c r="AA23" s="388">
        <v>0</v>
      </c>
      <c r="AB23" s="388">
        <v>0</v>
      </c>
      <c r="AC23" s="553">
        <v>2260</v>
      </c>
      <c r="AD23" s="784">
        <f t="shared" si="12"/>
        <v>64170</v>
      </c>
      <c r="AE23" s="763">
        <v>65006</v>
      </c>
      <c r="AF23" s="763">
        <v>0</v>
      </c>
      <c r="AG23" s="763">
        <v>0</v>
      </c>
      <c r="AH23" s="763">
        <v>2373</v>
      </c>
      <c r="AI23" s="281">
        <f t="shared" si="13"/>
        <v>67379</v>
      </c>
      <c r="AJ23" s="281">
        <f t="shared" si="14"/>
        <v>105.00077918030233</v>
      </c>
    </row>
    <row r="24" spans="1:36" ht="14.25">
      <c r="A24" s="299">
        <v>14</v>
      </c>
      <c r="B24" s="385" t="s">
        <v>902</v>
      </c>
      <c r="C24" s="488">
        <v>117821</v>
      </c>
      <c r="D24" s="388">
        <v>0</v>
      </c>
      <c r="E24" s="388">
        <v>0</v>
      </c>
      <c r="F24" s="488">
        <v>352</v>
      </c>
      <c r="G24" s="388">
        <f t="shared" si="0"/>
        <v>118173</v>
      </c>
      <c r="H24" s="423">
        <v>233</v>
      </c>
      <c r="I24" s="299">
        <f t="shared" si="1"/>
        <v>2753.4308999999998</v>
      </c>
      <c r="J24" s="299">
        <f t="shared" si="2"/>
        <v>826.02926999999988</v>
      </c>
      <c r="K24" s="299">
        <f t="shared" si="3"/>
        <v>1927.4016299999998</v>
      </c>
      <c r="L24" s="299">
        <v>0</v>
      </c>
      <c r="M24" s="525">
        <f t="shared" si="4"/>
        <v>385.48032599999999</v>
      </c>
      <c r="N24" s="525">
        <f t="shared" si="5"/>
        <v>192.740163</v>
      </c>
      <c r="O24" s="525">
        <f t="shared" si="6"/>
        <v>96.370081499999998</v>
      </c>
      <c r="P24" s="525">
        <f t="shared" si="7"/>
        <v>96.370081499999998</v>
      </c>
      <c r="Q24" s="300"/>
      <c r="R24" s="300"/>
      <c r="S24" s="300">
        <v>150</v>
      </c>
      <c r="T24" s="524">
        <v>47.08366839</v>
      </c>
      <c r="U24" s="524">
        <f t="shared" si="8"/>
        <v>3138.9112259999997</v>
      </c>
      <c r="V24" s="524">
        <f t="shared" si="9"/>
        <v>47.08366839</v>
      </c>
      <c r="W24" s="524">
        <f t="shared" si="10"/>
        <v>3138.9112259999997</v>
      </c>
      <c r="X24" s="524">
        <f t="shared" si="11"/>
        <v>47.08366839</v>
      </c>
      <c r="Y24" s="524"/>
      <c r="Z24" s="553">
        <v>112210</v>
      </c>
      <c r="AA24" s="388">
        <v>0</v>
      </c>
      <c r="AB24" s="388">
        <v>0</v>
      </c>
      <c r="AC24" s="553">
        <v>335</v>
      </c>
      <c r="AD24" s="784">
        <f t="shared" si="12"/>
        <v>112545</v>
      </c>
      <c r="AE24" s="763">
        <v>117821</v>
      </c>
      <c r="AF24" s="763">
        <v>0</v>
      </c>
      <c r="AG24" s="763">
        <v>0</v>
      </c>
      <c r="AH24" s="763">
        <v>352</v>
      </c>
      <c r="AI24" s="281">
        <f t="shared" si="13"/>
        <v>118173</v>
      </c>
      <c r="AJ24" s="281">
        <f t="shared" si="14"/>
        <v>105.00066640010664</v>
      </c>
    </row>
    <row r="25" spans="1:36" ht="14.25">
      <c r="A25" s="299">
        <v>15</v>
      </c>
      <c r="B25" s="385" t="s">
        <v>903</v>
      </c>
      <c r="C25" s="488">
        <v>71730</v>
      </c>
      <c r="D25" s="388">
        <v>0</v>
      </c>
      <c r="E25" s="388">
        <v>0</v>
      </c>
      <c r="F25" s="488">
        <v>19</v>
      </c>
      <c r="G25" s="388">
        <f t="shared" si="0"/>
        <v>71749</v>
      </c>
      <c r="H25" s="423">
        <v>233</v>
      </c>
      <c r="I25" s="299">
        <f t="shared" si="1"/>
        <v>1671.7517</v>
      </c>
      <c r="J25" s="299">
        <f t="shared" si="2"/>
        <v>501.52551</v>
      </c>
      <c r="K25" s="299">
        <f t="shared" si="3"/>
        <v>1170.2261900000001</v>
      </c>
      <c r="L25" s="299">
        <v>0</v>
      </c>
      <c r="M25" s="525">
        <f t="shared" si="4"/>
        <v>234.04523800000001</v>
      </c>
      <c r="N25" s="525">
        <f t="shared" si="5"/>
        <v>117.02261900000001</v>
      </c>
      <c r="O25" s="525">
        <f t="shared" si="6"/>
        <v>58.511309500000003</v>
      </c>
      <c r="P25" s="525">
        <f t="shared" si="7"/>
        <v>58.511309500000003</v>
      </c>
      <c r="Q25" s="300"/>
      <c r="R25" s="300"/>
      <c r="S25" s="300">
        <v>150</v>
      </c>
      <c r="T25" s="524">
        <v>28.586954070000001</v>
      </c>
      <c r="U25" s="524">
        <f t="shared" si="8"/>
        <v>1905.796938</v>
      </c>
      <c r="V25" s="524">
        <f t="shared" si="9"/>
        <v>28.586954070000001</v>
      </c>
      <c r="W25" s="524">
        <f t="shared" si="10"/>
        <v>1905.796938</v>
      </c>
      <c r="X25" s="524">
        <f t="shared" si="11"/>
        <v>28.586954070000001</v>
      </c>
      <c r="Y25" s="524"/>
      <c r="Z25" s="553">
        <v>68314</v>
      </c>
      <c r="AA25" s="388">
        <v>0</v>
      </c>
      <c r="AB25" s="388">
        <v>0</v>
      </c>
      <c r="AC25" s="553">
        <v>18</v>
      </c>
      <c r="AD25" s="784">
        <f t="shared" si="12"/>
        <v>68332</v>
      </c>
      <c r="AE25" s="763">
        <v>71730</v>
      </c>
      <c r="AF25" s="763">
        <v>0</v>
      </c>
      <c r="AG25" s="763">
        <v>0</v>
      </c>
      <c r="AH25" s="763">
        <v>19</v>
      </c>
      <c r="AI25" s="281">
        <f t="shared" si="13"/>
        <v>71749</v>
      </c>
      <c r="AJ25" s="281">
        <f t="shared" si="14"/>
        <v>105.00058537727566</v>
      </c>
    </row>
    <row r="26" spans="1:36" ht="14.25">
      <c r="A26" s="299">
        <v>16</v>
      </c>
      <c r="B26" s="385" t="s">
        <v>904</v>
      </c>
      <c r="C26" s="488">
        <v>68381</v>
      </c>
      <c r="D26" s="388">
        <v>0</v>
      </c>
      <c r="E26" s="388">
        <v>0</v>
      </c>
      <c r="F26" s="488">
        <v>813</v>
      </c>
      <c r="G26" s="388">
        <f t="shared" si="0"/>
        <v>69194</v>
      </c>
      <c r="H26" s="423">
        <v>233</v>
      </c>
      <c r="I26" s="299">
        <f t="shared" si="1"/>
        <v>1612.2202</v>
      </c>
      <c r="J26" s="299">
        <f t="shared" si="2"/>
        <v>483.66605999999996</v>
      </c>
      <c r="K26" s="299">
        <f t="shared" si="3"/>
        <v>1128.55414</v>
      </c>
      <c r="L26" s="299">
        <v>0</v>
      </c>
      <c r="M26" s="525">
        <f t="shared" si="4"/>
        <v>225.71082799999999</v>
      </c>
      <c r="N26" s="525">
        <f t="shared" si="5"/>
        <v>112.855414</v>
      </c>
      <c r="O26" s="525">
        <f t="shared" si="6"/>
        <v>56.427706999999998</v>
      </c>
      <c r="P26" s="525">
        <f t="shared" si="7"/>
        <v>56.427706999999998</v>
      </c>
      <c r="Q26" s="300"/>
      <c r="R26" s="300"/>
      <c r="S26" s="300">
        <v>150</v>
      </c>
      <c r="T26" s="524">
        <v>27.568965419999998</v>
      </c>
      <c r="U26" s="524">
        <f t="shared" si="8"/>
        <v>1837.931028</v>
      </c>
      <c r="V26" s="524">
        <f t="shared" si="9"/>
        <v>27.568965419999998</v>
      </c>
      <c r="W26" s="524">
        <f t="shared" si="10"/>
        <v>1837.931028</v>
      </c>
      <c r="X26" s="524">
        <f t="shared" si="11"/>
        <v>27.568965419999998</v>
      </c>
      <c r="Y26" s="524"/>
      <c r="Z26" s="553">
        <v>65125</v>
      </c>
      <c r="AA26" s="388">
        <v>0</v>
      </c>
      <c r="AB26" s="388">
        <v>0</v>
      </c>
      <c r="AC26" s="553">
        <v>774</v>
      </c>
      <c r="AD26" s="784">
        <f t="shared" si="12"/>
        <v>65899</v>
      </c>
      <c r="AE26" s="763">
        <v>68381</v>
      </c>
      <c r="AF26" s="763">
        <v>0</v>
      </c>
      <c r="AG26" s="763">
        <v>0</v>
      </c>
      <c r="AH26" s="763">
        <v>813</v>
      </c>
      <c r="AI26" s="281">
        <f t="shared" si="13"/>
        <v>69194</v>
      </c>
      <c r="AJ26" s="281">
        <f t="shared" si="14"/>
        <v>105.00007587368549</v>
      </c>
    </row>
    <row r="27" spans="1:36" ht="14.25">
      <c r="A27" s="299">
        <v>17</v>
      </c>
      <c r="B27" s="385" t="s">
        <v>905</v>
      </c>
      <c r="C27" s="488">
        <v>156855</v>
      </c>
      <c r="D27" s="388">
        <v>0</v>
      </c>
      <c r="E27" s="388">
        <v>0</v>
      </c>
      <c r="F27" s="488">
        <v>3141</v>
      </c>
      <c r="G27" s="388">
        <f t="shared" si="0"/>
        <v>159996</v>
      </c>
      <c r="H27" s="423">
        <v>233</v>
      </c>
      <c r="I27" s="299">
        <f t="shared" si="1"/>
        <v>3727.9068000000002</v>
      </c>
      <c r="J27" s="299">
        <f t="shared" si="2"/>
        <v>1118.37204</v>
      </c>
      <c r="K27" s="299">
        <f t="shared" si="3"/>
        <v>2609.5347600000005</v>
      </c>
      <c r="L27" s="299">
        <v>0</v>
      </c>
      <c r="M27" s="525">
        <f t="shared" si="4"/>
        <v>521.90695200000005</v>
      </c>
      <c r="N27" s="525">
        <f t="shared" si="5"/>
        <v>260.95347600000002</v>
      </c>
      <c r="O27" s="525">
        <f t="shared" si="6"/>
        <v>130.47673800000001</v>
      </c>
      <c r="P27" s="525">
        <f t="shared" si="7"/>
        <v>130.47673800000001</v>
      </c>
      <c r="Q27" s="300"/>
      <c r="R27" s="300"/>
      <c r="S27" s="300">
        <v>150</v>
      </c>
      <c r="T27" s="524">
        <v>63.747206280000007</v>
      </c>
      <c r="U27" s="524">
        <f t="shared" si="8"/>
        <v>4249.813752</v>
      </c>
      <c r="V27" s="524">
        <f t="shared" si="9"/>
        <v>63.747206280000007</v>
      </c>
      <c r="W27" s="524">
        <f t="shared" si="10"/>
        <v>4249.813752</v>
      </c>
      <c r="X27" s="524">
        <f t="shared" si="11"/>
        <v>63.747206280000007</v>
      </c>
      <c r="Y27" s="524"/>
      <c r="Z27" s="553">
        <v>149386</v>
      </c>
      <c r="AA27" s="388">
        <v>0</v>
      </c>
      <c r="AB27" s="388">
        <v>0</v>
      </c>
      <c r="AC27" s="553">
        <v>2991</v>
      </c>
      <c r="AD27" s="784">
        <f t="shared" si="12"/>
        <v>152377</v>
      </c>
      <c r="AE27" s="763">
        <v>156855</v>
      </c>
      <c r="AF27" s="763">
        <v>0</v>
      </c>
      <c r="AG27" s="763">
        <v>0</v>
      </c>
      <c r="AH27" s="763">
        <v>3141</v>
      </c>
      <c r="AI27" s="281">
        <f t="shared" si="13"/>
        <v>159996</v>
      </c>
      <c r="AJ27" s="281">
        <f t="shared" si="14"/>
        <v>105.00009844005329</v>
      </c>
    </row>
    <row r="28" spans="1:36" ht="14.25">
      <c r="A28" s="299">
        <v>18</v>
      </c>
      <c r="B28" s="385" t="s">
        <v>906</v>
      </c>
      <c r="C28" s="488">
        <v>59352</v>
      </c>
      <c r="D28" s="388">
        <v>0</v>
      </c>
      <c r="E28" s="388">
        <v>0</v>
      </c>
      <c r="F28" s="488">
        <v>3782</v>
      </c>
      <c r="G28" s="388">
        <f t="shared" si="0"/>
        <v>63134</v>
      </c>
      <c r="H28" s="423">
        <v>233</v>
      </c>
      <c r="I28" s="299">
        <f t="shared" si="1"/>
        <v>1471.0222000000001</v>
      </c>
      <c r="J28" s="299">
        <f t="shared" si="2"/>
        <v>441.30666000000002</v>
      </c>
      <c r="K28" s="299">
        <f t="shared" si="3"/>
        <v>1029.7155400000001</v>
      </c>
      <c r="L28" s="299">
        <v>0</v>
      </c>
      <c r="M28" s="525">
        <f t="shared" si="4"/>
        <v>205.943108</v>
      </c>
      <c r="N28" s="525">
        <f t="shared" si="5"/>
        <v>102.971554</v>
      </c>
      <c r="O28" s="525">
        <f t="shared" si="6"/>
        <v>51.485776999999999</v>
      </c>
      <c r="P28" s="525">
        <f t="shared" si="7"/>
        <v>51.485776999999999</v>
      </c>
      <c r="Q28" s="300"/>
      <c r="R28" s="300"/>
      <c r="S28" s="300">
        <v>150</v>
      </c>
      <c r="T28" s="524">
        <v>25.154479620000004</v>
      </c>
      <c r="U28" s="524">
        <f t="shared" si="8"/>
        <v>1676.9653080000001</v>
      </c>
      <c r="V28" s="524">
        <f t="shared" si="9"/>
        <v>25.154479620000004</v>
      </c>
      <c r="W28" s="524">
        <f t="shared" si="10"/>
        <v>1676.9653080000001</v>
      </c>
      <c r="X28" s="524">
        <f t="shared" si="11"/>
        <v>25.154479620000004</v>
      </c>
      <c r="Y28" s="524"/>
      <c r="Z28" s="553">
        <v>56526</v>
      </c>
      <c r="AA28" s="388">
        <v>0</v>
      </c>
      <c r="AB28" s="388">
        <v>0</v>
      </c>
      <c r="AC28" s="553">
        <v>3602</v>
      </c>
      <c r="AD28" s="784">
        <f t="shared" si="12"/>
        <v>60128</v>
      </c>
      <c r="AE28" s="763">
        <v>59352</v>
      </c>
      <c r="AF28" s="763">
        <v>0</v>
      </c>
      <c r="AG28" s="763">
        <v>0</v>
      </c>
      <c r="AH28" s="763">
        <v>3782</v>
      </c>
      <c r="AI28" s="281">
        <f t="shared" si="13"/>
        <v>63134</v>
      </c>
      <c r="AJ28" s="281">
        <f t="shared" si="14"/>
        <v>104.99933475252794</v>
      </c>
    </row>
    <row r="29" spans="1:36" ht="14.25">
      <c r="A29" s="299">
        <v>19</v>
      </c>
      <c r="B29" s="385" t="s">
        <v>907</v>
      </c>
      <c r="C29" s="488">
        <v>95676</v>
      </c>
      <c r="D29" s="388">
        <v>0</v>
      </c>
      <c r="E29" s="388">
        <v>0</v>
      </c>
      <c r="F29" s="488">
        <v>1065</v>
      </c>
      <c r="G29" s="388">
        <f t="shared" si="0"/>
        <v>96741</v>
      </c>
      <c r="H29" s="423">
        <v>233</v>
      </c>
      <c r="I29" s="299">
        <f t="shared" si="1"/>
        <v>2254.0653000000002</v>
      </c>
      <c r="J29" s="299">
        <f t="shared" si="2"/>
        <v>676.21959000000004</v>
      </c>
      <c r="K29" s="299">
        <f t="shared" si="3"/>
        <v>1577.8457100000001</v>
      </c>
      <c r="L29" s="299">
        <v>0</v>
      </c>
      <c r="M29" s="525">
        <f t="shared" si="4"/>
        <v>315.569142</v>
      </c>
      <c r="N29" s="525">
        <f t="shared" si="5"/>
        <v>157.784571</v>
      </c>
      <c r="O29" s="525">
        <f t="shared" si="6"/>
        <v>78.8922855</v>
      </c>
      <c r="P29" s="525">
        <f t="shared" si="7"/>
        <v>78.8922855</v>
      </c>
      <c r="Q29" s="300"/>
      <c r="R29" s="300"/>
      <c r="S29" s="300">
        <v>150</v>
      </c>
      <c r="T29" s="524">
        <v>38.544516630000004</v>
      </c>
      <c r="U29" s="524">
        <f t="shared" si="8"/>
        <v>2569.634442</v>
      </c>
      <c r="V29" s="524">
        <f t="shared" si="9"/>
        <v>38.544516630000004</v>
      </c>
      <c r="W29" s="524">
        <f t="shared" si="10"/>
        <v>2569.634442</v>
      </c>
      <c r="X29" s="524">
        <f t="shared" si="11"/>
        <v>38.544516630000004</v>
      </c>
      <c r="Y29" s="524"/>
      <c r="Z29" s="553">
        <v>91120</v>
      </c>
      <c r="AA29" s="388">
        <v>0</v>
      </c>
      <c r="AB29" s="388">
        <v>0</v>
      </c>
      <c r="AC29" s="553">
        <v>1014</v>
      </c>
      <c r="AD29" s="784">
        <f t="shared" si="12"/>
        <v>92134</v>
      </c>
      <c r="AE29" s="763">
        <v>95676</v>
      </c>
      <c r="AF29" s="763">
        <v>0</v>
      </c>
      <c r="AG29" s="763">
        <v>0</v>
      </c>
      <c r="AH29" s="763">
        <v>1065</v>
      </c>
      <c r="AI29" s="281">
        <f t="shared" si="13"/>
        <v>96741</v>
      </c>
      <c r="AJ29" s="281">
        <f t="shared" si="14"/>
        <v>105.00032561269454</v>
      </c>
    </row>
    <row r="30" spans="1:36" ht="14.25">
      <c r="A30" s="299">
        <v>20</v>
      </c>
      <c r="B30" s="385" t="s">
        <v>908</v>
      </c>
      <c r="C30" s="488">
        <v>79127</v>
      </c>
      <c r="D30" s="388">
        <v>0</v>
      </c>
      <c r="E30" s="388">
        <v>185</v>
      </c>
      <c r="F30" s="488">
        <v>1810</v>
      </c>
      <c r="G30" s="388">
        <f t="shared" si="0"/>
        <v>81122</v>
      </c>
      <c r="H30" s="423">
        <v>233</v>
      </c>
      <c r="I30" s="299">
        <f t="shared" si="1"/>
        <v>1890.1425999999999</v>
      </c>
      <c r="J30" s="299">
        <f t="shared" si="2"/>
        <v>567.04277999999999</v>
      </c>
      <c r="K30" s="299">
        <f t="shared" si="3"/>
        <v>1323.0998199999999</v>
      </c>
      <c r="L30" s="299">
        <v>0</v>
      </c>
      <c r="M30" s="525">
        <f t="shared" si="4"/>
        <v>264.61996399999998</v>
      </c>
      <c r="N30" s="525">
        <f t="shared" si="5"/>
        <v>132.30998199999999</v>
      </c>
      <c r="O30" s="525">
        <f t="shared" si="6"/>
        <v>66.154990999999995</v>
      </c>
      <c r="P30" s="525">
        <f t="shared" si="7"/>
        <v>66.154990999999995</v>
      </c>
      <c r="Q30" s="300"/>
      <c r="R30" s="300"/>
      <c r="S30" s="300">
        <v>150</v>
      </c>
      <c r="T30" s="524">
        <v>32.321438459999996</v>
      </c>
      <c r="U30" s="524">
        <f t="shared" si="8"/>
        <v>2154.7625639999997</v>
      </c>
      <c r="V30" s="524">
        <f t="shared" si="9"/>
        <v>32.321438459999996</v>
      </c>
      <c r="W30" s="524">
        <f t="shared" si="10"/>
        <v>2154.7625639999997</v>
      </c>
      <c r="X30" s="524">
        <f t="shared" si="11"/>
        <v>32.321438459999996</v>
      </c>
      <c r="Y30" s="524"/>
      <c r="Z30" s="553">
        <v>75359</v>
      </c>
      <c r="AA30" s="388">
        <v>0</v>
      </c>
      <c r="AB30" s="388">
        <v>176</v>
      </c>
      <c r="AC30" s="553">
        <v>1724</v>
      </c>
      <c r="AD30" s="784">
        <f t="shared" si="12"/>
        <v>77259</v>
      </c>
      <c r="AE30" s="763">
        <v>79127</v>
      </c>
      <c r="AF30" s="763">
        <v>0</v>
      </c>
      <c r="AG30" s="763">
        <v>185</v>
      </c>
      <c r="AH30" s="763">
        <v>1810</v>
      </c>
      <c r="AI30" s="281">
        <f t="shared" si="13"/>
        <v>81122</v>
      </c>
      <c r="AJ30" s="281">
        <f t="shared" si="14"/>
        <v>105.00006471737922</v>
      </c>
    </row>
    <row r="31" spans="1:36" ht="14.25">
      <c r="A31" s="299">
        <v>21</v>
      </c>
      <c r="B31" s="385" t="s">
        <v>909</v>
      </c>
      <c r="C31" s="488">
        <v>53387</v>
      </c>
      <c r="D31" s="388">
        <v>0</v>
      </c>
      <c r="E31" s="388">
        <v>0</v>
      </c>
      <c r="F31" s="488">
        <v>1009</v>
      </c>
      <c r="G31" s="388">
        <f t="shared" si="0"/>
        <v>54396</v>
      </c>
      <c r="H31" s="423">
        <v>233</v>
      </c>
      <c r="I31" s="299">
        <f t="shared" si="1"/>
        <v>1267.4268</v>
      </c>
      <c r="J31" s="299">
        <f t="shared" si="2"/>
        <v>380.22803999999996</v>
      </c>
      <c r="K31" s="299">
        <f t="shared" si="3"/>
        <v>887.19875999999999</v>
      </c>
      <c r="L31" s="299">
        <v>0</v>
      </c>
      <c r="M31" s="525">
        <f t="shared" si="4"/>
        <v>177.439752</v>
      </c>
      <c r="N31" s="525">
        <f t="shared" si="5"/>
        <v>88.719875999999999</v>
      </c>
      <c r="O31" s="525">
        <f t="shared" si="6"/>
        <v>44.359938</v>
      </c>
      <c r="P31" s="525">
        <f t="shared" si="7"/>
        <v>44.359938</v>
      </c>
      <c r="Q31" s="300"/>
      <c r="R31" s="300"/>
      <c r="S31" s="300">
        <v>150</v>
      </c>
      <c r="T31" s="524">
        <v>21.672998279999998</v>
      </c>
      <c r="U31" s="524">
        <f t="shared" si="8"/>
        <v>1444.866552</v>
      </c>
      <c r="V31" s="524">
        <f t="shared" si="9"/>
        <v>21.672998279999998</v>
      </c>
      <c r="W31" s="524">
        <f t="shared" si="10"/>
        <v>1444.866552</v>
      </c>
      <c r="X31" s="524">
        <f t="shared" si="11"/>
        <v>21.672998279999998</v>
      </c>
      <c r="Y31" s="524"/>
      <c r="Z31" s="553">
        <v>50845</v>
      </c>
      <c r="AA31" s="388">
        <v>0</v>
      </c>
      <c r="AB31" s="388">
        <v>0</v>
      </c>
      <c r="AC31" s="553">
        <v>961</v>
      </c>
      <c r="AD31" s="784">
        <f t="shared" si="12"/>
        <v>51806</v>
      </c>
      <c r="AE31" s="763">
        <v>53387</v>
      </c>
      <c r="AF31" s="763">
        <v>0</v>
      </c>
      <c r="AG31" s="763">
        <v>0</v>
      </c>
      <c r="AH31" s="763">
        <v>1009</v>
      </c>
      <c r="AI31" s="281">
        <f t="shared" si="13"/>
        <v>54396</v>
      </c>
      <c r="AJ31" s="281">
        <f t="shared" si="14"/>
        <v>104.99942091649616</v>
      </c>
    </row>
    <row r="32" spans="1:36" ht="14.25">
      <c r="A32" s="299">
        <v>22</v>
      </c>
      <c r="B32" s="385" t="s">
        <v>910</v>
      </c>
      <c r="C32" s="488">
        <v>149618</v>
      </c>
      <c r="D32" s="388">
        <v>0</v>
      </c>
      <c r="E32" s="388">
        <v>0</v>
      </c>
      <c r="F32" s="488">
        <v>5273</v>
      </c>
      <c r="G32" s="388">
        <f t="shared" si="0"/>
        <v>154891</v>
      </c>
      <c r="H32" s="423">
        <v>233</v>
      </c>
      <c r="I32" s="299">
        <f t="shared" si="1"/>
        <v>3608.9603000000002</v>
      </c>
      <c r="J32" s="299">
        <f t="shared" si="2"/>
        <v>1082.6880900000001</v>
      </c>
      <c r="K32" s="299">
        <f t="shared" si="3"/>
        <v>2526.2722100000001</v>
      </c>
      <c r="L32" s="299">
        <v>0</v>
      </c>
      <c r="M32" s="525">
        <f t="shared" si="4"/>
        <v>505.25444199999998</v>
      </c>
      <c r="N32" s="525">
        <f t="shared" si="5"/>
        <v>252.62722099999999</v>
      </c>
      <c r="O32" s="525">
        <f t="shared" si="6"/>
        <v>126.3136105</v>
      </c>
      <c r="P32" s="525">
        <f t="shared" si="7"/>
        <v>126.3136105</v>
      </c>
      <c r="Q32" s="300"/>
      <c r="R32" s="300"/>
      <c r="S32" s="300">
        <v>150</v>
      </c>
      <c r="T32" s="524">
        <v>61.713221130000001</v>
      </c>
      <c r="U32" s="524">
        <f t="shared" si="8"/>
        <v>4114.2147420000001</v>
      </c>
      <c r="V32" s="524">
        <f t="shared" si="9"/>
        <v>61.713221130000001</v>
      </c>
      <c r="W32" s="524">
        <f t="shared" si="10"/>
        <v>4114.2147420000001</v>
      </c>
      <c r="X32" s="524">
        <f t="shared" si="11"/>
        <v>61.713221130000001</v>
      </c>
      <c r="Y32" s="524"/>
      <c r="Z32" s="553">
        <v>142493</v>
      </c>
      <c r="AA32" s="388">
        <v>0</v>
      </c>
      <c r="AB32" s="388">
        <v>0</v>
      </c>
      <c r="AC32" s="553">
        <v>5022</v>
      </c>
      <c r="AD32" s="784">
        <f t="shared" si="12"/>
        <v>147515</v>
      </c>
      <c r="AE32" s="763">
        <v>149618</v>
      </c>
      <c r="AF32" s="763">
        <v>0</v>
      </c>
      <c r="AG32" s="763">
        <v>0</v>
      </c>
      <c r="AH32" s="763">
        <v>5273</v>
      </c>
      <c r="AI32" s="281">
        <f t="shared" si="13"/>
        <v>154891</v>
      </c>
      <c r="AJ32" s="281">
        <f t="shared" si="14"/>
        <v>105.00016947429076</v>
      </c>
    </row>
    <row r="33" spans="1:36" ht="14.25">
      <c r="A33" s="299">
        <v>23</v>
      </c>
      <c r="B33" s="385" t="s">
        <v>911</v>
      </c>
      <c r="C33" s="488">
        <v>57398</v>
      </c>
      <c r="D33" s="388">
        <v>0</v>
      </c>
      <c r="E33" s="388">
        <v>0</v>
      </c>
      <c r="F33" s="488">
        <v>1590</v>
      </c>
      <c r="G33" s="388">
        <f t="shared" si="0"/>
        <v>58988</v>
      </c>
      <c r="H33" s="423">
        <v>233</v>
      </c>
      <c r="I33" s="299">
        <f t="shared" si="1"/>
        <v>1374.4204</v>
      </c>
      <c r="J33" s="299">
        <f t="shared" si="2"/>
        <v>412.32612</v>
      </c>
      <c r="K33" s="299">
        <f t="shared" si="3"/>
        <v>962.09428000000003</v>
      </c>
      <c r="L33" s="299">
        <v>0</v>
      </c>
      <c r="M33" s="525">
        <f t="shared" si="4"/>
        <v>192.41885600000001</v>
      </c>
      <c r="N33" s="525">
        <f t="shared" si="5"/>
        <v>96.209428000000003</v>
      </c>
      <c r="O33" s="525">
        <f t="shared" si="6"/>
        <v>48.104714000000001</v>
      </c>
      <c r="P33" s="525">
        <f t="shared" si="7"/>
        <v>48.104714000000001</v>
      </c>
      <c r="Q33" s="300"/>
      <c r="R33" s="300"/>
      <c r="S33" s="300">
        <v>150</v>
      </c>
      <c r="T33" s="524">
        <v>23.502588840000001</v>
      </c>
      <c r="U33" s="524">
        <f t="shared" si="8"/>
        <v>1566.839256</v>
      </c>
      <c r="V33" s="524">
        <f t="shared" si="9"/>
        <v>23.502588840000001</v>
      </c>
      <c r="W33" s="524">
        <f t="shared" si="10"/>
        <v>1566.839256</v>
      </c>
      <c r="X33" s="524">
        <f t="shared" si="11"/>
        <v>23.502588840000001</v>
      </c>
      <c r="Y33" s="524"/>
      <c r="Z33" s="553">
        <v>54665</v>
      </c>
      <c r="AA33" s="388">
        <v>0</v>
      </c>
      <c r="AB33" s="388">
        <v>0</v>
      </c>
      <c r="AC33" s="553">
        <v>1514</v>
      </c>
      <c r="AD33" s="784">
        <f t="shared" si="12"/>
        <v>56179</v>
      </c>
      <c r="AE33" s="763">
        <v>57398</v>
      </c>
      <c r="AF33" s="763">
        <v>0</v>
      </c>
      <c r="AG33" s="763">
        <v>0</v>
      </c>
      <c r="AH33" s="763">
        <v>1590</v>
      </c>
      <c r="AI33" s="281">
        <f t="shared" si="13"/>
        <v>58988</v>
      </c>
      <c r="AJ33" s="281">
        <f t="shared" si="14"/>
        <v>105.00008900122822</v>
      </c>
    </row>
    <row r="34" spans="1:36" ht="14.25">
      <c r="A34" s="299">
        <v>24</v>
      </c>
      <c r="B34" s="385" t="s">
        <v>912</v>
      </c>
      <c r="C34" s="488">
        <v>45876</v>
      </c>
      <c r="D34" s="388">
        <v>0</v>
      </c>
      <c r="E34" s="388">
        <v>0</v>
      </c>
      <c r="F34" s="488">
        <v>3161</v>
      </c>
      <c r="G34" s="388">
        <f t="shared" si="0"/>
        <v>49037</v>
      </c>
      <c r="H34" s="423">
        <v>233</v>
      </c>
      <c r="I34" s="299">
        <f t="shared" si="1"/>
        <v>1142.5621000000001</v>
      </c>
      <c r="J34" s="299">
        <f t="shared" si="2"/>
        <v>342.76863000000003</v>
      </c>
      <c r="K34" s="299">
        <f t="shared" si="3"/>
        <v>799.79347000000007</v>
      </c>
      <c r="L34" s="299">
        <v>0</v>
      </c>
      <c r="M34" s="525">
        <f t="shared" si="4"/>
        <v>159.95869400000001</v>
      </c>
      <c r="N34" s="525">
        <f t="shared" si="5"/>
        <v>79.979347000000004</v>
      </c>
      <c r="O34" s="525">
        <f t="shared" si="6"/>
        <v>39.989673500000002</v>
      </c>
      <c r="P34" s="525">
        <f t="shared" si="7"/>
        <v>39.989673500000002</v>
      </c>
      <c r="Q34" s="300"/>
      <c r="R34" s="300"/>
      <c r="S34" s="300">
        <v>150</v>
      </c>
      <c r="T34" s="524">
        <v>19.537811910000002</v>
      </c>
      <c r="U34" s="524">
        <f t="shared" si="8"/>
        <v>1302.520794</v>
      </c>
      <c r="V34" s="524">
        <f t="shared" si="9"/>
        <v>19.537811910000002</v>
      </c>
      <c r="W34" s="524">
        <f t="shared" si="10"/>
        <v>1302.520794</v>
      </c>
      <c r="X34" s="524">
        <f t="shared" si="11"/>
        <v>19.537811910000002</v>
      </c>
      <c r="Y34" s="524"/>
      <c r="Z34" s="553">
        <v>43691</v>
      </c>
      <c r="AA34" s="388">
        <v>0</v>
      </c>
      <c r="AB34" s="388">
        <v>0</v>
      </c>
      <c r="AC34" s="553">
        <v>3010</v>
      </c>
      <c r="AD34" s="784">
        <f t="shared" si="12"/>
        <v>46701</v>
      </c>
      <c r="AE34" s="763">
        <v>45876</v>
      </c>
      <c r="AF34" s="763">
        <v>0</v>
      </c>
      <c r="AG34" s="763">
        <v>0</v>
      </c>
      <c r="AH34" s="763">
        <v>3161</v>
      </c>
      <c r="AI34" s="281">
        <f t="shared" si="13"/>
        <v>49037</v>
      </c>
      <c r="AJ34" s="281">
        <f t="shared" si="14"/>
        <v>105.00203421768271</v>
      </c>
    </row>
    <row r="35" spans="1:36" ht="14.25">
      <c r="A35" s="299">
        <v>25</v>
      </c>
      <c r="B35" s="385" t="s">
        <v>913</v>
      </c>
      <c r="C35" s="488">
        <v>114855</v>
      </c>
      <c r="D35" s="388">
        <v>0</v>
      </c>
      <c r="E35" s="388">
        <v>0</v>
      </c>
      <c r="F35" s="488">
        <v>8629</v>
      </c>
      <c r="G35" s="388">
        <f t="shared" si="0"/>
        <v>123484</v>
      </c>
      <c r="H35" s="423">
        <v>233</v>
      </c>
      <c r="I35" s="299">
        <f t="shared" si="1"/>
        <v>2877.1772000000001</v>
      </c>
      <c r="J35" s="299">
        <f t="shared" si="2"/>
        <v>863.15315999999996</v>
      </c>
      <c r="K35" s="299">
        <f t="shared" si="3"/>
        <v>2014.0240400000002</v>
      </c>
      <c r="L35" s="299">
        <v>0</v>
      </c>
      <c r="M35" s="525">
        <f t="shared" si="4"/>
        <v>402.80480799999998</v>
      </c>
      <c r="N35" s="525">
        <f t="shared" si="5"/>
        <v>201.40240399999999</v>
      </c>
      <c r="O35" s="525">
        <f t="shared" si="6"/>
        <v>100.70120199999999</v>
      </c>
      <c r="P35" s="525">
        <f t="shared" si="7"/>
        <v>100.70120199999999</v>
      </c>
      <c r="Q35" s="300"/>
      <c r="R35" s="300"/>
      <c r="S35" s="300">
        <v>150</v>
      </c>
      <c r="T35" s="524">
        <v>49.199730119999998</v>
      </c>
      <c r="U35" s="524">
        <f t="shared" si="8"/>
        <v>3279.982008</v>
      </c>
      <c r="V35" s="524">
        <f t="shared" si="9"/>
        <v>49.199730119999998</v>
      </c>
      <c r="W35" s="524">
        <f t="shared" si="10"/>
        <v>3279.982008</v>
      </c>
      <c r="X35" s="524">
        <f t="shared" si="11"/>
        <v>49.199730119999998</v>
      </c>
      <c r="Y35" s="524"/>
      <c r="Z35" s="553">
        <v>109386</v>
      </c>
      <c r="AA35" s="388">
        <v>0</v>
      </c>
      <c r="AB35" s="388">
        <v>0</v>
      </c>
      <c r="AC35" s="553">
        <v>8218</v>
      </c>
      <c r="AD35" s="784">
        <f t="shared" si="12"/>
        <v>117604</v>
      </c>
      <c r="AE35" s="763">
        <v>114855</v>
      </c>
      <c r="AF35" s="763">
        <v>0</v>
      </c>
      <c r="AG35" s="763">
        <v>0</v>
      </c>
      <c r="AH35" s="763">
        <v>8629</v>
      </c>
      <c r="AI35" s="281">
        <f t="shared" si="13"/>
        <v>123484</v>
      </c>
      <c r="AJ35" s="281">
        <f t="shared" si="14"/>
        <v>104.99982993775723</v>
      </c>
    </row>
    <row r="36" spans="1:36" ht="14.25">
      <c r="A36" s="299">
        <v>26</v>
      </c>
      <c r="B36" s="385" t="s">
        <v>914</v>
      </c>
      <c r="C36" s="488">
        <v>91900</v>
      </c>
      <c r="D36" s="388">
        <v>0</v>
      </c>
      <c r="E36" s="388">
        <v>0</v>
      </c>
      <c r="F36" s="488">
        <v>1100</v>
      </c>
      <c r="G36" s="388">
        <f t="shared" si="0"/>
        <v>93000</v>
      </c>
      <c r="H36" s="423">
        <v>233</v>
      </c>
      <c r="I36" s="299">
        <f t="shared" si="1"/>
        <v>2166.9</v>
      </c>
      <c r="J36" s="299">
        <f t="shared" si="2"/>
        <v>650.07000000000005</v>
      </c>
      <c r="K36" s="299">
        <f t="shared" si="3"/>
        <v>1516.83</v>
      </c>
      <c r="L36" s="299">
        <v>0</v>
      </c>
      <c r="M36" s="525">
        <f t="shared" si="4"/>
        <v>303.36599999999999</v>
      </c>
      <c r="N36" s="525">
        <f t="shared" si="5"/>
        <v>151.68299999999999</v>
      </c>
      <c r="O36" s="525">
        <f t="shared" si="6"/>
        <v>75.841499999999996</v>
      </c>
      <c r="P36" s="525">
        <f t="shared" si="7"/>
        <v>75.841499999999996</v>
      </c>
      <c r="Q36" s="300"/>
      <c r="R36" s="300"/>
      <c r="S36" s="300">
        <v>150</v>
      </c>
      <c r="T36" s="524">
        <v>37.053989999999999</v>
      </c>
      <c r="U36" s="524">
        <f t="shared" si="8"/>
        <v>2470.2660000000001</v>
      </c>
      <c r="V36" s="524">
        <f t="shared" si="9"/>
        <v>37.053989999999999</v>
      </c>
      <c r="W36" s="524">
        <f t="shared" si="10"/>
        <v>2470.2660000000001</v>
      </c>
      <c r="X36" s="524">
        <f t="shared" si="11"/>
        <v>37.053989999999999</v>
      </c>
      <c r="Y36" s="524"/>
      <c r="Z36" s="553">
        <v>87524</v>
      </c>
      <c r="AA36" s="388">
        <v>0</v>
      </c>
      <c r="AB36" s="388">
        <v>0</v>
      </c>
      <c r="AC36" s="553">
        <v>1048</v>
      </c>
      <c r="AD36" s="784">
        <f t="shared" si="12"/>
        <v>88572</v>
      </c>
      <c r="AE36" s="763">
        <v>91900</v>
      </c>
      <c r="AF36" s="763">
        <v>0</v>
      </c>
      <c r="AG36" s="763">
        <v>0</v>
      </c>
      <c r="AH36" s="763">
        <v>1100</v>
      </c>
      <c r="AI36" s="281">
        <f t="shared" si="13"/>
        <v>93000</v>
      </c>
      <c r="AJ36" s="281">
        <f t="shared" si="14"/>
        <v>104.99932258501559</v>
      </c>
    </row>
    <row r="37" spans="1:36" ht="14.25">
      <c r="A37" s="299">
        <v>27</v>
      </c>
      <c r="B37" s="385" t="s">
        <v>915</v>
      </c>
      <c r="C37" s="488">
        <v>72935</v>
      </c>
      <c r="D37" s="388">
        <v>0</v>
      </c>
      <c r="E37" s="388">
        <v>0</v>
      </c>
      <c r="F37" s="488">
        <v>442</v>
      </c>
      <c r="G37" s="388">
        <f t="shared" si="0"/>
        <v>73377</v>
      </c>
      <c r="H37" s="423">
        <v>233</v>
      </c>
      <c r="I37" s="299">
        <f t="shared" si="1"/>
        <v>1709.6840999999999</v>
      </c>
      <c r="J37" s="299">
        <f t="shared" si="2"/>
        <v>512.90522999999996</v>
      </c>
      <c r="K37" s="299">
        <f t="shared" si="3"/>
        <v>1196.7788700000001</v>
      </c>
      <c r="L37" s="299">
        <v>0</v>
      </c>
      <c r="M37" s="525">
        <f t="shared" si="4"/>
        <v>239.355774</v>
      </c>
      <c r="N37" s="525">
        <f t="shared" si="5"/>
        <v>119.677887</v>
      </c>
      <c r="O37" s="525">
        <f t="shared" si="6"/>
        <v>59.838943499999999</v>
      </c>
      <c r="P37" s="525">
        <f t="shared" si="7"/>
        <v>59.838943499999999</v>
      </c>
      <c r="Q37" s="300"/>
      <c r="R37" s="300"/>
      <c r="S37" s="300">
        <v>150</v>
      </c>
      <c r="T37" s="524">
        <v>29.235598110000002</v>
      </c>
      <c r="U37" s="524">
        <f t="shared" si="8"/>
        <v>1949.0398740000001</v>
      </c>
      <c r="V37" s="524">
        <f t="shared" si="9"/>
        <v>29.235598110000002</v>
      </c>
      <c r="W37" s="524">
        <f t="shared" si="10"/>
        <v>1949.0398740000001</v>
      </c>
      <c r="X37" s="524">
        <f t="shared" si="11"/>
        <v>29.235598110000002</v>
      </c>
      <c r="Y37" s="524"/>
      <c r="Z37" s="553">
        <v>69462</v>
      </c>
      <c r="AA37" s="388">
        <v>0</v>
      </c>
      <c r="AB37" s="388">
        <v>0</v>
      </c>
      <c r="AC37" s="553">
        <v>421</v>
      </c>
      <c r="AD37" s="784">
        <f t="shared" si="12"/>
        <v>69883</v>
      </c>
      <c r="AE37" s="763">
        <v>72935</v>
      </c>
      <c r="AF37" s="763">
        <v>0</v>
      </c>
      <c r="AG37" s="763">
        <v>0</v>
      </c>
      <c r="AH37" s="763">
        <v>442</v>
      </c>
      <c r="AI37" s="281">
        <f t="shared" si="13"/>
        <v>73377</v>
      </c>
      <c r="AJ37" s="281">
        <f t="shared" si="14"/>
        <v>104.99978535552282</v>
      </c>
    </row>
    <row r="38" spans="1:36" ht="14.25">
      <c r="A38" s="299">
        <v>28</v>
      </c>
      <c r="B38" s="385" t="s">
        <v>916</v>
      </c>
      <c r="C38" s="488">
        <v>69237</v>
      </c>
      <c r="D38" s="388">
        <v>0</v>
      </c>
      <c r="E38" s="388">
        <v>0</v>
      </c>
      <c r="F38" s="488">
        <v>180</v>
      </c>
      <c r="G38" s="388">
        <f t="shared" si="0"/>
        <v>69417</v>
      </c>
      <c r="H38" s="423">
        <v>233</v>
      </c>
      <c r="I38" s="299">
        <f t="shared" si="1"/>
        <v>1617.4160999999999</v>
      </c>
      <c r="J38" s="299">
        <f t="shared" si="2"/>
        <v>485.22482999999994</v>
      </c>
      <c r="K38" s="299">
        <f t="shared" si="3"/>
        <v>1132.19127</v>
      </c>
      <c r="L38" s="299">
        <v>0</v>
      </c>
      <c r="M38" s="525">
        <f t="shared" si="4"/>
        <v>226.438254</v>
      </c>
      <c r="N38" s="525">
        <f t="shared" si="5"/>
        <v>113.219127</v>
      </c>
      <c r="O38" s="525">
        <f t="shared" si="6"/>
        <v>56.6095635</v>
      </c>
      <c r="P38" s="525">
        <f t="shared" si="7"/>
        <v>56.6095635</v>
      </c>
      <c r="Q38" s="300"/>
      <c r="R38" s="300"/>
      <c r="S38" s="300">
        <v>150</v>
      </c>
      <c r="T38" s="524">
        <v>27.65781531</v>
      </c>
      <c r="U38" s="524">
        <f t="shared" si="8"/>
        <v>1843.8543539999998</v>
      </c>
      <c r="V38" s="524">
        <f t="shared" si="9"/>
        <v>27.65781531</v>
      </c>
      <c r="W38" s="524">
        <f t="shared" si="10"/>
        <v>1843.8543539999998</v>
      </c>
      <c r="X38" s="524">
        <f t="shared" si="11"/>
        <v>27.65781531</v>
      </c>
      <c r="Y38" s="524"/>
      <c r="Z38" s="553">
        <v>65940</v>
      </c>
      <c r="AA38" s="388">
        <v>0</v>
      </c>
      <c r="AB38" s="388">
        <v>0</v>
      </c>
      <c r="AC38" s="553">
        <v>171</v>
      </c>
      <c r="AD38" s="784">
        <f t="shared" si="12"/>
        <v>66111</v>
      </c>
      <c r="AE38" s="763">
        <v>69237</v>
      </c>
      <c r="AF38" s="763">
        <v>0</v>
      </c>
      <c r="AG38" s="763">
        <v>0</v>
      </c>
      <c r="AH38" s="763">
        <v>180</v>
      </c>
      <c r="AI38" s="281">
        <f t="shared" si="13"/>
        <v>69417</v>
      </c>
      <c r="AJ38" s="281">
        <f t="shared" si="14"/>
        <v>105.0006806734129</v>
      </c>
    </row>
    <row r="39" spans="1:36" ht="14.25">
      <c r="A39" s="299">
        <v>29</v>
      </c>
      <c r="B39" s="385" t="s">
        <v>917</v>
      </c>
      <c r="C39" s="488">
        <v>56780</v>
      </c>
      <c r="D39" s="388">
        <v>0</v>
      </c>
      <c r="E39" s="388">
        <v>0</v>
      </c>
      <c r="F39" s="488">
        <v>6089</v>
      </c>
      <c r="G39" s="388">
        <f t="shared" si="0"/>
        <v>62869</v>
      </c>
      <c r="H39" s="423">
        <v>233</v>
      </c>
      <c r="I39" s="299">
        <f t="shared" si="1"/>
        <v>1464.8477</v>
      </c>
      <c r="J39" s="299">
        <f t="shared" si="2"/>
        <v>439.45431000000002</v>
      </c>
      <c r="K39" s="299">
        <f t="shared" si="3"/>
        <v>1025.39339</v>
      </c>
      <c r="L39" s="299">
        <v>0</v>
      </c>
      <c r="M39" s="525">
        <f t="shared" si="4"/>
        <v>205.078678</v>
      </c>
      <c r="N39" s="525">
        <f t="shared" si="5"/>
        <v>102.539339</v>
      </c>
      <c r="O39" s="525">
        <f t="shared" si="6"/>
        <v>51.269669499999999</v>
      </c>
      <c r="P39" s="525">
        <f t="shared" si="7"/>
        <v>51.269669499999999</v>
      </c>
      <c r="Q39" s="300"/>
      <c r="R39" s="300"/>
      <c r="S39" s="300">
        <v>150</v>
      </c>
      <c r="T39" s="524">
        <v>25.048895670000004</v>
      </c>
      <c r="U39" s="524">
        <f t="shared" si="8"/>
        <v>1669.9263780000001</v>
      </c>
      <c r="V39" s="524">
        <f t="shared" si="9"/>
        <v>25.048895670000004</v>
      </c>
      <c r="W39" s="524">
        <f t="shared" si="10"/>
        <v>1669.9263780000001</v>
      </c>
      <c r="X39" s="524">
        <f t="shared" si="11"/>
        <v>25.048895670000004</v>
      </c>
      <c r="Y39" s="524"/>
      <c r="Z39" s="553">
        <v>54076</v>
      </c>
      <c r="AA39" s="388">
        <v>0</v>
      </c>
      <c r="AB39" s="388">
        <v>0</v>
      </c>
      <c r="AC39" s="553">
        <v>5799</v>
      </c>
      <c r="AD39" s="784">
        <f t="shared" si="12"/>
        <v>59875</v>
      </c>
      <c r="AE39" s="763">
        <v>56780</v>
      </c>
      <c r="AF39" s="763">
        <v>0</v>
      </c>
      <c r="AG39" s="763">
        <v>0</v>
      </c>
      <c r="AH39" s="763">
        <v>6089</v>
      </c>
      <c r="AI39" s="281">
        <f t="shared" si="13"/>
        <v>62869</v>
      </c>
      <c r="AJ39" s="281">
        <f t="shared" si="14"/>
        <v>105.00041753653444</v>
      </c>
    </row>
    <row r="40" spans="1:36" ht="14.25">
      <c r="A40" s="299">
        <v>30</v>
      </c>
      <c r="B40" s="385" t="s">
        <v>918</v>
      </c>
      <c r="C40" s="488">
        <v>76558</v>
      </c>
      <c r="D40" s="388">
        <v>0</v>
      </c>
      <c r="E40" s="388">
        <v>0</v>
      </c>
      <c r="F40" s="488">
        <v>2104</v>
      </c>
      <c r="G40" s="388">
        <f t="shared" si="0"/>
        <v>78662</v>
      </c>
      <c r="H40" s="423">
        <v>233</v>
      </c>
      <c r="I40" s="299">
        <f t="shared" si="1"/>
        <v>1832.8245999999999</v>
      </c>
      <c r="J40" s="299">
        <f t="shared" si="2"/>
        <v>549.84737999999993</v>
      </c>
      <c r="K40" s="299">
        <f t="shared" si="3"/>
        <v>1282.97722</v>
      </c>
      <c r="L40" s="299">
        <v>0</v>
      </c>
      <c r="M40" s="525">
        <f t="shared" si="4"/>
        <v>256.59544399999999</v>
      </c>
      <c r="N40" s="525">
        <f t="shared" si="5"/>
        <v>128.29772199999999</v>
      </c>
      <c r="O40" s="525">
        <f t="shared" si="6"/>
        <v>64.148860999999997</v>
      </c>
      <c r="P40" s="525">
        <f t="shared" si="7"/>
        <v>64.148860999999997</v>
      </c>
      <c r="Q40" s="300"/>
      <c r="R40" s="300"/>
      <c r="S40" s="300">
        <v>150</v>
      </c>
      <c r="T40" s="524">
        <v>31.341300660000002</v>
      </c>
      <c r="U40" s="524">
        <f t="shared" si="8"/>
        <v>2089.420044</v>
      </c>
      <c r="V40" s="524">
        <f t="shared" si="9"/>
        <v>31.341300660000002</v>
      </c>
      <c r="W40" s="524">
        <f t="shared" si="10"/>
        <v>2089.420044</v>
      </c>
      <c r="X40" s="524">
        <f t="shared" si="11"/>
        <v>31.341300660000002</v>
      </c>
      <c r="Y40" s="524"/>
      <c r="Z40" s="553">
        <v>72912</v>
      </c>
      <c r="AA40" s="388">
        <v>0</v>
      </c>
      <c r="AB40" s="388">
        <v>0</v>
      </c>
      <c r="AC40" s="553">
        <v>2004</v>
      </c>
      <c r="AD40" s="784">
        <f t="shared" si="12"/>
        <v>74916</v>
      </c>
      <c r="AE40" s="763">
        <v>76558</v>
      </c>
      <c r="AF40" s="763">
        <v>0</v>
      </c>
      <c r="AG40" s="763">
        <v>0</v>
      </c>
      <c r="AH40" s="763">
        <v>2104</v>
      </c>
      <c r="AI40" s="281">
        <f t="shared" si="13"/>
        <v>78662</v>
      </c>
      <c r="AJ40" s="281">
        <f t="shared" si="14"/>
        <v>105.00026696566822</v>
      </c>
    </row>
    <row r="41" spans="1:36" ht="14.25">
      <c r="A41" s="299">
        <v>31</v>
      </c>
      <c r="B41" s="385" t="s">
        <v>919</v>
      </c>
      <c r="C41" s="488">
        <v>54581</v>
      </c>
      <c r="D41" s="388">
        <v>0</v>
      </c>
      <c r="E41" s="388">
        <v>0</v>
      </c>
      <c r="F41" s="488">
        <v>169</v>
      </c>
      <c r="G41" s="388">
        <f t="shared" si="0"/>
        <v>54750</v>
      </c>
      <c r="H41" s="423">
        <v>233</v>
      </c>
      <c r="I41" s="299">
        <f t="shared" si="1"/>
        <v>1275.675</v>
      </c>
      <c r="J41" s="299">
        <f t="shared" si="2"/>
        <v>382.70249999999999</v>
      </c>
      <c r="K41" s="299">
        <f t="shared" si="3"/>
        <v>892.97249999999997</v>
      </c>
      <c r="L41" s="299">
        <v>0</v>
      </c>
      <c r="M41" s="525">
        <f t="shared" si="4"/>
        <v>178.59450000000001</v>
      </c>
      <c r="N41" s="525">
        <f t="shared" si="5"/>
        <v>89.297250000000005</v>
      </c>
      <c r="O41" s="525">
        <f t="shared" si="6"/>
        <v>44.648625000000003</v>
      </c>
      <c r="P41" s="525">
        <f t="shared" si="7"/>
        <v>44.648625000000003</v>
      </c>
      <c r="Q41" s="300"/>
      <c r="R41" s="300"/>
      <c r="S41" s="300">
        <v>150</v>
      </c>
      <c r="T41" s="524">
        <v>21.814042499999999</v>
      </c>
      <c r="U41" s="524">
        <f t="shared" si="8"/>
        <v>1454.2694999999999</v>
      </c>
      <c r="V41" s="524">
        <f t="shared" si="9"/>
        <v>21.814042499999999</v>
      </c>
      <c r="W41" s="524">
        <f t="shared" si="10"/>
        <v>1454.2694999999999</v>
      </c>
      <c r="X41" s="524">
        <f t="shared" si="11"/>
        <v>21.814042499999999</v>
      </c>
      <c r="Y41" s="524"/>
      <c r="Z41" s="553">
        <v>51982</v>
      </c>
      <c r="AA41" s="388">
        <v>0</v>
      </c>
      <c r="AB41" s="388">
        <v>0</v>
      </c>
      <c r="AC41" s="553">
        <v>161</v>
      </c>
      <c r="AD41" s="784">
        <f t="shared" si="12"/>
        <v>52143</v>
      </c>
      <c r="AE41" s="763">
        <v>54581</v>
      </c>
      <c r="AF41" s="763">
        <v>0</v>
      </c>
      <c r="AG41" s="763">
        <v>0</v>
      </c>
      <c r="AH41" s="763">
        <v>169</v>
      </c>
      <c r="AI41" s="281">
        <f t="shared" si="13"/>
        <v>54750</v>
      </c>
      <c r="AJ41" s="281">
        <f t="shared" si="14"/>
        <v>104.99971232955528</v>
      </c>
    </row>
    <row r="42" spans="1:36" ht="14.25">
      <c r="A42" s="299">
        <v>32</v>
      </c>
      <c r="B42" s="385" t="s">
        <v>920</v>
      </c>
      <c r="C42" s="488">
        <v>60347</v>
      </c>
      <c r="D42" s="388">
        <v>0</v>
      </c>
      <c r="E42" s="388">
        <v>0</v>
      </c>
      <c r="F42" s="488">
        <v>6240</v>
      </c>
      <c r="G42" s="388">
        <f t="shared" si="0"/>
        <v>66587</v>
      </c>
      <c r="H42" s="423">
        <v>233</v>
      </c>
      <c r="I42" s="299">
        <f t="shared" si="1"/>
        <v>1551.4771000000001</v>
      </c>
      <c r="J42" s="299">
        <f t="shared" si="2"/>
        <v>465.44313</v>
      </c>
      <c r="K42" s="299">
        <f t="shared" si="3"/>
        <v>1086.03397</v>
      </c>
      <c r="L42" s="299">
        <v>0</v>
      </c>
      <c r="M42" s="525">
        <f t="shared" si="4"/>
        <v>217.206794</v>
      </c>
      <c r="N42" s="525">
        <f t="shared" si="5"/>
        <v>108.603397</v>
      </c>
      <c r="O42" s="525">
        <f t="shared" si="6"/>
        <v>54.301698500000001</v>
      </c>
      <c r="P42" s="525">
        <f t="shared" si="7"/>
        <v>54.301698500000001</v>
      </c>
      <c r="Q42" s="300"/>
      <c r="R42" s="300"/>
      <c r="S42" s="300">
        <v>150</v>
      </c>
      <c r="T42" s="524">
        <v>26.530258410000002</v>
      </c>
      <c r="U42" s="524">
        <f t="shared" si="8"/>
        <v>1768.683894</v>
      </c>
      <c r="V42" s="524">
        <f t="shared" si="9"/>
        <v>26.530258410000002</v>
      </c>
      <c r="W42" s="524">
        <f t="shared" si="10"/>
        <v>1768.683894</v>
      </c>
      <c r="X42" s="524">
        <f t="shared" si="11"/>
        <v>26.530258410000002</v>
      </c>
      <c r="Y42" s="524"/>
      <c r="Z42" s="553">
        <v>57475</v>
      </c>
      <c r="AA42" s="388">
        <v>0</v>
      </c>
      <c r="AB42" s="388">
        <v>0</v>
      </c>
      <c r="AC42" s="553">
        <v>5943</v>
      </c>
      <c r="AD42" s="784">
        <f t="shared" si="12"/>
        <v>63418</v>
      </c>
      <c r="AE42" s="763">
        <v>60347</v>
      </c>
      <c r="AF42" s="763">
        <v>0</v>
      </c>
      <c r="AG42" s="763">
        <v>0</v>
      </c>
      <c r="AH42" s="763">
        <v>6240</v>
      </c>
      <c r="AI42" s="281">
        <f t="shared" si="13"/>
        <v>66587</v>
      </c>
      <c r="AJ42" s="281">
        <f t="shared" si="14"/>
        <v>104.99700400517202</v>
      </c>
    </row>
    <row r="43" spans="1:36" ht="14.25">
      <c r="A43" s="299">
        <v>33</v>
      </c>
      <c r="B43" s="385" t="s">
        <v>921</v>
      </c>
      <c r="C43" s="488">
        <v>154070</v>
      </c>
      <c r="D43" s="388">
        <v>0</v>
      </c>
      <c r="E43" s="388">
        <v>11136</v>
      </c>
      <c r="F43" s="488">
        <v>1073</v>
      </c>
      <c r="G43" s="388">
        <f t="shared" si="0"/>
        <v>166279</v>
      </c>
      <c r="H43" s="423">
        <v>233</v>
      </c>
      <c r="I43" s="299">
        <f t="shared" si="1"/>
        <v>3874.3006999999998</v>
      </c>
      <c r="J43" s="299">
        <f t="shared" si="2"/>
        <v>1162.2902099999999</v>
      </c>
      <c r="K43" s="299">
        <f t="shared" si="3"/>
        <v>2712.0104899999997</v>
      </c>
      <c r="L43" s="299">
        <v>0</v>
      </c>
      <c r="M43" s="525">
        <f t="shared" si="4"/>
        <v>542.40209800000002</v>
      </c>
      <c r="N43" s="300">
        <f t="shared" si="5"/>
        <v>271.20104900000001</v>
      </c>
      <c r="O43" s="300">
        <f t="shared" si="6"/>
        <v>135.60052450000001</v>
      </c>
      <c r="P43" s="525">
        <f t="shared" si="7"/>
        <v>135.60052450000001</v>
      </c>
      <c r="Q43" s="300"/>
      <c r="R43" s="300"/>
      <c r="S43" s="300">
        <v>150</v>
      </c>
      <c r="T43" s="524">
        <v>66.25054197</v>
      </c>
      <c r="U43" s="524">
        <f t="shared" si="8"/>
        <v>4416.7027980000003</v>
      </c>
      <c r="V43" s="524">
        <f t="shared" si="9"/>
        <v>66.25054197</v>
      </c>
      <c r="W43" s="524">
        <f t="shared" si="10"/>
        <v>4416.7027980000003</v>
      </c>
      <c r="X43" s="524">
        <f t="shared" si="11"/>
        <v>66.25054197</v>
      </c>
      <c r="Y43" s="524"/>
      <c r="Z43" s="553">
        <v>146733</v>
      </c>
      <c r="AA43" s="388">
        <v>0</v>
      </c>
      <c r="AB43" s="388">
        <v>10606</v>
      </c>
      <c r="AC43" s="553">
        <v>1022</v>
      </c>
      <c r="AD43" s="784">
        <f t="shared" si="12"/>
        <v>158361</v>
      </c>
      <c r="AE43" s="763">
        <v>154070</v>
      </c>
      <c r="AF43" s="763">
        <v>0</v>
      </c>
      <c r="AG43" s="763">
        <v>11136</v>
      </c>
      <c r="AH43" s="763">
        <v>1073</v>
      </c>
      <c r="AI43" s="281">
        <f t="shared" si="13"/>
        <v>166279</v>
      </c>
      <c r="AJ43" s="281">
        <f t="shared" si="14"/>
        <v>104.99996842656967</v>
      </c>
    </row>
    <row r="44" spans="1:36" ht="15">
      <c r="A44" s="367" t="s">
        <v>19</v>
      </c>
      <c r="B44" s="300"/>
      <c r="C44" s="672">
        <f>SUM(C11:C43)</f>
        <v>3081094</v>
      </c>
      <c r="D44" s="672">
        <f t="shared" ref="D44:F44" si="15">SUM(D11:D43)</f>
        <v>0</v>
      </c>
      <c r="E44" s="672">
        <f t="shared" si="15"/>
        <v>19914</v>
      </c>
      <c r="F44" s="672">
        <f t="shared" si="15"/>
        <v>84308</v>
      </c>
      <c r="G44" s="388">
        <f t="shared" si="0"/>
        <v>3185316</v>
      </c>
      <c r="H44" s="301"/>
      <c r="I44" s="299">
        <f t="shared" si="1"/>
        <v>74217.862800000003</v>
      </c>
      <c r="J44" s="300">
        <f t="shared" si="2"/>
        <v>22265.358840000001</v>
      </c>
      <c r="K44" s="300">
        <f t="shared" si="3"/>
        <v>51952.503960000002</v>
      </c>
      <c r="L44" s="300"/>
      <c r="M44" s="525">
        <f>SUM(M11:M43)</f>
        <v>10390.500792000003</v>
      </c>
      <c r="N44" s="525">
        <f t="shared" ref="N44:P44" si="16">SUM(N11:N43)</f>
        <v>5195.2503960000013</v>
      </c>
      <c r="O44" s="525">
        <f t="shared" si="16"/>
        <v>2597.6251980000006</v>
      </c>
      <c r="P44" s="525">
        <f t="shared" si="16"/>
        <v>2597.6251980000006</v>
      </c>
      <c r="Q44" s="300"/>
      <c r="R44" s="300"/>
      <c r="S44" s="300">
        <v>150</v>
      </c>
      <c r="T44" s="524">
        <f>SUM(T11:T43)</f>
        <v>1269.1254538799997</v>
      </c>
      <c r="U44" s="524">
        <f t="shared" si="8"/>
        <v>84608.363592000009</v>
      </c>
      <c r="V44" s="524">
        <f t="shared" si="9"/>
        <v>1269.1254538800001</v>
      </c>
      <c r="W44" s="524">
        <f t="shared" si="10"/>
        <v>84608.363592000009</v>
      </c>
      <c r="X44" s="524">
        <f t="shared" si="11"/>
        <v>1269.1254538800001</v>
      </c>
      <c r="Y44" s="661"/>
      <c r="Z44" s="295">
        <f>SUM(Z11:Z43)</f>
        <v>2934374</v>
      </c>
      <c r="AA44" s="295">
        <f t="shared" ref="AA44:AH44" si="17">SUM(AA11:AA43)</f>
        <v>0</v>
      </c>
      <c r="AB44" s="295">
        <f t="shared" si="17"/>
        <v>18966</v>
      </c>
      <c r="AC44" s="295">
        <f t="shared" si="17"/>
        <v>80293</v>
      </c>
      <c r="AD44" s="784">
        <f t="shared" si="12"/>
        <v>3033633</v>
      </c>
      <c r="AE44" s="295">
        <f t="shared" si="17"/>
        <v>3081094</v>
      </c>
      <c r="AF44" s="295">
        <f t="shared" si="17"/>
        <v>0</v>
      </c>
      <c r="AG44" s="295">
        <f t="shared" si="17"/>
        <v>19914</v>
      </c>
      <c r="AH44" s="295">
        <f t="shared" si="17"/>
        <v>84308</v>
      </c>
      <c r="AI44" s="281">
        <f t="shared" si="13"/>
        <v>3185316</v>
      </c>
      <c r="AJ44" s="281">
        <f t="shared" si="14"/>
        <v>105.00004450109819</v>
      </c>
    </row>
    <row r="45" spans="1:36">
      <c r="A45" s="302"/>
      <c r="B45" s="302"/>
      <c r="C45" s="302"/>
      <c r="D45" s="302"/>
      <c r="E45" s="302"/>
      <c r="F45" s="302"/>
      <c r="G45" s="302"/>
      <c r="H45" s="302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</row>
    <row r="46" spans="1:36">
      <c r="A46" s="303" t="s">
        <v>8</v>
      </c>
      <c r="B46" s="304"/>
      <c r="C46" s="304"/>
      <c r="D46" s="302"/>
      <c r="E46" s="302"/>
      <c r="F46" s="302"/>
      <c r="G46" s="302"/>
      <c r="H46" s="302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670"/>
      <c r="V46" s="295"/>
      <c r="W46" s="295"/>
      <c r="X46" s="295"/>
      <c r="Y46" s="295"/>
    </row>
    <row r="47" spans="1:36">
      <c r="A47" s="305" t="s">
        <v>9</v>
      </c>
      <c r="B47" s="305"/>
      <c r="C47" s="30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</row>
    <row r="48" spans="1:36">
      <c r="A48" s="305" t="s">
        <v>10</v>
      </c>
      <c r="B48" s="305"/>
      <c r="C48" s="30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AH48" s="281">
        <f>AE44+AF44+AG44+AH44</f>
        <v>3185316</v>
      </c>
    </row>
    <row r="49" spans="1:25">
      <c r="A49" s="305"/>
      <c r="B49" s="305"/>
      <c r="C49" s="30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</row>
    <row r="50" spans="1:25">
      <c r="A50" s="305"/>
      <c r="B50" s="305"/>
      <c r="C50" s="30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</row>
    <row r="51" spans="1:25" ht="16.5" customHeight="1">
      <c r="A51" s="305" t="s">
        <v>12</v>
      </c>
      <c r="H51" s="305"/>
      <c r="I51" s="295"/>
      <c r="J51" s="305"/>
      <c r="K51" s="305"/>
      <c r="L51" s="305"/>
      <c r="M51" s="305"/>
      <c r="N51" s="305"/>
      <c r="O51" s="305"/>
      <c r="P51" s="305"/>
      <c r="Q51" s="305"/>
      <c r="R51" s="1098" t="s">
        <v>13</v>
      </c>
      <c r="S51" s="1098"/>
      <c r="T51" s="305"/>
      <c r="U51" s="305"/>
      <c r="V51" s="305"/>
      <c r="W51" s="305"/>
      <c r="X51" s="305"/>
      <c r="Y51" s="305"/>
    </row>
    <row r="52" spans="1:25" ht="12.75" customHeight="1">
      <c r="I52" s="305"/>
      <c r="J52" s="1098" t="s">
        <v>14</v>
      </c>
      <c r="K52" s="1098"/>
      <c r="L52" s="1098"/>
      <c r="M52" s="1098"/>
      <c r="N52" s="1098"/>
      <c r="O52" s="1098"/>
      <c r="P52" s="1098"/>
      <c r="Q52" s="1098"/>
      <c r="R52" s="1098"/>
      <c r="S52" s="1098"/>
      <c r="T52" s="1098"/>
      <c r="U52" s="756"/>
      <c r="V52" s="756"/>
      <c r="W52" s="774"/>
      <c r="X52" s="774"/>
      <c r="Y52" s="756"/>
    </row>
    <row r="53" spans="1:25" ht="12.75" customHeight="1">
      <c r="I53" s="1098" t="s">
        <v>90</v>
      </c>
      <c r="J53" s="1098"/>
      <c r="K53" s="1098"/>
      <c r="L53" s="1098"/>
      <c r="M53" s="1098"/>
      <c r="N53" s="1098"/>
      <c r="O53" s="1098"/>
      <c r="P53" s="1098"/>
      <c r="Q53" s="1098"/>
      <c r="R53" s="1098"/>
      <c r="S53" s="1098"/>
      <c r="T53" s="1098"/>
      <c r="U53" s="756"/>
      <c r="V53" s="756"/>
      <c r="W53" s="774"/>
      <c r="X53" s="774"/>
      <c r="Y53" s="756"/>
    </row>
    <row r="54" spans="1:25">
      <c r="A54" s="305"/>
      <c r="B54" s="305"/>
      <c r="I54" s="295"/>
      <c r="J54" s="305"/>
      <c r="K54" s="305"/>
      <c r="L54" s="305"/>
      <c r="M54" s="305"/>
      <c r="N54" s="305"/>
      <c r="O54" s="305"/>
      <c r="P54" s="305"/>
      <c r="Q54" s="305"/>
      <c r="R54" s="305" t="s">
        <v>856</v>
      </c>
      <c r="S54" s="305"/>
      <c r="T54" s="305"/>
      <c r="U54" s="305"/>
      <c r="V54" s="305"/>
      <c r="W54" s="305"/>
      <c r="X54" s="305"/>
      <c r="Y54" s="305"/>
    </row>
    <row r="56" spans="1:25">
      <c r="A56" s="1095"/>
      <c r="B56" s="1095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754"/>
      <c r="V56" s="754"/>
      <c r="W56" s="772"/>
      <c r="X56" s="772"/>
      <c r="Y56" s="754"/>
    </row>
    <row r="59" spans="1:25">
      <c r="G59" s="295">
        <f>G44*233*4.35/100000</f>
        <v>32284.770317999999</v>
      </c>
      <c r="K59" s="281">
        <f>J44*3000/100000</f>
        <v>667.96076520000008</v>
      </c>
      <c r="L59" s="281">
        <f>K44*2000/100000</f>
        <v>1039.0500792</v>
      </c>
      <c r="M59" s="281">
        <f>K59+L59</f>
        <v>1707.0108444000002</v>
      </c>
    </row>
  </sheetData>
  <mergeCells count="19">
    <mergeCell ref="A4:T5"/>
    <mergeCell ref="A2:T2"/>
    <mergeCell ref="A3:T3"/>
    <mergeCell ref="G1:I1"/>
    <mergeCell ref="A6:T6"/>
    <mergeCell ref="Q1:T1"/>
    <mergeCell ref="A56:T56"/>
    <mergeCell ref="L7:T7"/>
    <mergeCell ref="A8:A9"/>
    <mergeCell ref="B8:B9"/>
    <mergeCell ref="C8:G8"/>
    <mergeCell ref="A7:B7"/>
    <mergeCell ref="H8:H9"/>
    <mergeCell ref="J52:T52"/>
    <mergeCell ref="I53:T53"/>
    <mergeCell ref="I8:L8"/>
    <mergeCell ref="R51:S51"/>
    <mergeCell ref="M8:R8"/>
    <mergeCell ref="S8:T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H59"/>
  <sheetViews>
    <sheetView view="pageBreakPreview" topLeftCell="C1" zoomScaleNormal="70" zoomScaleSheetLayoutView="100" workbookViewId="0">
      <selection activeCell="H59" sqref="H59"/>
    </sheetView>
  </sheetViews>
  <sheetFormatPr defaultRowHeight="12.75"/>
  <cols>
    <col min="1" max="1" width="5.5703125" style="295" customWidth="1"/>
    <col min="2" max="2" width="13.42578125" style="295" customWidth="1"/>
    <col min="3" max="3" width="10.28515625" style="295" customWidth="1"/>
    <col min="4" max="4" width="8.42578125" style="295" customWidth="1"/>
    <col min="5" max="6" width="9.85546875" style="295" customWidth="1"/>
    <col min="7" max="7" width="10.85546875" style="295" customWidth="1"/>
    <col min="8" max="8" width="12.85546875" style="295" customWidth="1"/>
    <col min="9" max="10" width="8.7109375" style="281" customWidth="1"/>
    <col min="11" max="11" width="8.28515625" style="281" customWidth="1"/>
    <col min="12" max="13" width="8.140625" style="281" customWidth="1"/>
    <col min="14" max="14" width="9.28515625" style="281" customWidth="1"/>
    <col min="15" max="15" width="8.42578125" style="281" customWidth="1"/>
    <col min="16" max="18" width="8.140625" style="281" customWidth="1"/>
    <col min="19" max="19" width="10.42578125" style="281" customWidth="1"/>
    <col min="20" max="22" width="12.5703125" style="281" customWidth="1"/>
    <col min="23" max="16384" width="9.140625" style="281"/>
  </cols>
  <sheetData>
    <row r="1" spans="1:34" ht="12.75" customHeight="1">
      <c r="G1" s="977"/>
      <c r="H1" s="977"/>
      <c r="I1" s="977"/>
      <c r="J1" s="295"/>
      <c r="K1" s="295"/>
      <c r="L1" s="295"/>
      <c r="M1" s="295"/>
      <c r="N1" s="295"/>
      <c r="O1" s="295"/>
      <c r="P1" s="295"/>
      <c r="Q1" s="295"/>
      <c r="R1" s="295"/>
      <c r="S1" s="1104" t="s">
        <v>539</v>
      </c>
      <c r="T1" s="1104"/>
      <c r="U1" s="761"/>
      <c r="V1" s="761"/>
    </row>
    <row r="2" spans="1:34" ht="15.7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758"/>
      <c r="V2" s="758"/>
    </row>
    <row r="3" spans="1:34" ht="18">
      <c r="A3" s="1102" t="s">
        <v>705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  <c r="O3" s="1102"/>
      <c r="P3" s="1102"/>
      <c r="Q3" s="1102"/>
      <c r="R3" s="1102"/>
      <c r="S3" s="1102"/>
      <c r="T3" s="1102"/>
      <c r="U3" s="759"/>
      <c r="V3" s="759"/>
    </row>
    <row r="4" spans="1:34" ht="12.75" customHeight="1">
      <c r="A4" s="1100" t="s">
        <v>714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  <c r="U4" s="757"/>
      <c r="V4" s="757"/>
    </row>
    <row r="5" spans="1:34" s="282" customFormat="1" ht="7.5" customHeight="1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757"/>
      <c r="V5" s="757"/>
    </row>
    <row r="6" spans="1:34">
      <c r="A6" s="1103"/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  <c r="O6" s="1103"/>
      <c r="P6" s="1103"/>
      <c r="Q6" s="1103"/>
      <c r="R6" s="1103"/>
      <c r="S6" s="1103"/>
      <c r="T6" s="1103"/>
      <c r="U6" s="760"/>
      <c r="V6" s="760"/>
    </row>
    <row r="7" spans="1:34">
      <c r="A7" s="972" t="s">
        <v>923</v>
      </c>
      <c r="B7" s="972"/>
      <c r="H7" s="331"/>
      <c r="I7" s="295"/>
      <c r="J7" s="295"/>
      <c r="K7" s="295"/>
      <c r="L7" s="1096"/>
      <c r="M7" s="1096"/>
      <c r="N7" s="1096"/>
      <c r="O7" s="1096"/>
      <c r="P7" s="1096"/>
      <c r="Q7" s="1096"/>
      <c r="R7" s="1096"/>
      <c r="S7" s="1096"/>
      <c r="T7" s="1096"/>
      <c r="U7" s="755"/>
      <c r="V7" s="755"/>
    </row>
    <row r="8" spans="1:34" ht="52.5" customHeight="1">
      <c r="A8" s="976" t="s">
        <v>2</v>
      </c>
      <c r="B8" s="976" t="s">
        <v>3</v>
      </c>
      <c r="C8" s="969" t="s">
        <v>491</v>
      </c>
      <c r="D8" s="970"/>
      <c r="E8" s="970"/>
      <c r="F8" s="970"/>
      <c r="G8" s="971"/>
      <c r="H8" s="966" t="s">
        <v>88</v>
      </c>
      <c r="I8" s="969" t="s">
        <v>89</v>
      </c>
      <c r="J8" s="970"/>
      <c r="K8" s="970"/>
      <c r="L8" s="971"/>
      <c r="M8" s="976" t="s">
        <v>656</v>
      </c>
      <c r="N8" s="976"/>
      <c r="O8" s="976"/>
      <c r="P8" s="976"/>
      <c r="Q8" s="976"/>
      <c r="R8" s="976"/>
      <c r="S8" s="1099" t="s">
        <v>855</v>
      </c>
      <c r="T8" s="1099"/>
      <c r="U8" s="580"/>
      <c r="V8" s="580"/>
    </row>
    <row r="9" spans="1:34" ht="44.45" customHeight="1">
      <c r="A9" s="976"/>
      <c r="B9" s="976"/>
      <c r="C9" s="332" t="s">
        <v>5</v>
      </c>
      <c r="D9" s="332" t="s">
        <v>6</v>
      </c>
      <c r="E9" s="332" t="s">
        <v>361</v>
      </c>
      <c r="F9" s="333" t="s">
        <v>105</v>
      </c>
      <c r="G9" s="333" t="s">
        <v>231</v>
      </c>
      <c r="H9" s="1097"/>
      <c r="I9" s="351" t="s">
        <v>94</v>
      </c>
      <c r="J9" s="351" t="s">
        <v>22</v>
      </c>
      <c r="K9" s="351" t="s">
        <v>45</v>
      </c>
      <c r="L9" s="351" t="s">
        <v>692</v>
      </c>
      <c r="M9" s="359" t="s">
        <v>19</v>
      </c>
      <c r="N9" s="542" t="s">
        <v>957</v>
      </c>
      <c r="O9" s="542" t="s">
        <v>958</v>
      </c>
      <c r="P9" s="542" t="s">
        <v>959</v>
      </c>
      <c r="Q9" s="542" t="s">
        <v>660</v>
      </c>
      <c r="R9" s="542" t="s">
        <v>661</v>
      </c>
      <c r="S9" s="372" t="s">
        <v>869</v>
      </c>
      <c r="T9" s="372" t="s">
        <v>867</v>
      </c>
      <c r="U9" s="581"/>
      <c r="V9" s="581"/>
      <c r="X9" s="769" t="s">
        <v>216</v>
      </c>
      <c r="Y9" s="770" t="s">
        <v>217</v>
      </c>
      <c r="Z9" s="768" t="s">
        <v>361</v>
      </c>
      <c r="AA9" s="770" t="s">
        <v>223</v>
      </c>
    </row>
    <row r="10" spans="1:34" s="368" customFormat="1">
      <c r="A10" s="366">
        <v>1</v>
      </c>
      <c r="B10" s="366">
        <v>2</v>
      </c>
      <c r="C10" s="765">
        <v>3</v>
      </c>
      <c r="D10" s="366">
        <v>4</v>
      </c>
      <c r="E10" s="366">
        <v>5</v>
      </c>
      <c r="F10" s="366">
        <v>6</v>
      </c>
      <c r="G10" s="366">
        <v>7</v>
      </c>
      <c r="H10" s="366">
        <v>8</v>
      </c>
      <c r="I10" s="366">
        <v>9</v>
      </c>
      <c r="J10" s="366">
        <v>10</v>
      </c>
      <c r="K10" s="366">
        <v>11</v>
      </c>
      <c r="L10" s="366">
        <v>12</v>
      </c>
      <c r="M10" s="366">
        <v>13</v>
      </c>
      <c r="N10" s="366">
        <v>14</v>
      </c>
      <c r="O10" s="366">
        <v>15</v>
      </c>
      <c r="P10" s="366">
        <v>16</v>
      </c>
      <c r="Q10" s="366">
        <v>17</v>
      </c>
      <c r="R10" s="366">
        <v>18</v>
      </c>
      <c r="S10" s="366">
        <v>19</v>
      </c>
      <c r="T10" s="366">
        <v>20</v>
      </c>
      <c r="U10" s="582"/>
      <c r="V10" s="582"/>
      <c r="X10" s="65">
        <v>8</v>
      </c>
      <c r="Y10" s="65">
        <v>9</v>
      </c>
      <c r="Z10" s="65">
        <v>10</v>
      </c>
      <c r="AA10" s="65">
        <v>11</v>
      </c>
    </row>
    <row r="11" spans="1:34" ht="14.25">
      <c r="A11" s="299">
        <v>1</v>
      </c>
      <c r="B11" s="764" t="s">
        <v>889</v>
      </c>
      <c r="C11" s="553">
        <v>56907</v>
      </c>
      <c r="D11" s="548">
        <v>0</v>
      </c>
      <c r="E11" s="388">
        <v>0</v>
      </c>
      <c r="F11" s="299">
        <v>370</v>
      </c>
      <c r="G11" s="388">
        <f>SUM(C11:F11)</f>
        <v>57277</v>
      </c>
      <c r="H11" s="423">
        <v>233</v>
      </c>
      <c r="I11" s="524">
        <f>G11*233*150/1000000</f>
        <v>2001.83115</v>
      </c>
      <c r="J11" s="524">
        <f>I11*0.3</f>
        <v>600.54934500000002</v>
      </c>
      <c r="K11" s="524">
        <f>I11-J11</f>
        <v>1401.2818050000001</v>
      </c>
      <c r="L11" s="299">
        <v>0</v>
      </c>
      <c r="M11" s="525">
        <f>G11*H11*21/1000000</f>
        <v>280.25636100000003</v>
      </c>
      <c r="N11" s="525">
        <f>M11*0.5</f>
        <v>140.12818050000001</v>
      </c>
      <c r="O11" s="525">
        <f>M11*0.25</f>
        <v>70.064090250000007</v>
      </c>
      <c r="P11" s="525">
        <f>M11-N11-O11</f>
        <v>70.064090250000007</v>
      </c>
      <c r="Q11" s="300"/>
      <c r="R11" s="300"/>
      <c r="S11" s="299">
        <v>150</v>
      </c>
      <c r="T11" s="524">
        <v>34.231312665000004</v>
      </c>
      <c r="U11" s="661">
        <f>I11+M11</f>
        <v>2282.0875110000002</v>
      </c>
      <c r="V11" s="661">
        <f>U11*1500/100000</f>
        <v>34.231312665000004</v>
      </c>
      <c r="X11" s="785">
        <v>54197</v>
      </c>
      <c r="Y11" s="785">
        <v>0</v>
      </c>
      <c r="Z11" s="785">
        <v>0</v>
      </c>
      <c r="AA11" s="785">
        <v>352</v>
      </c>
      <c r="AB11" s="281">
        <f>SUM(X11:AA11)</f>
        <v>54549</v>
      </c>
      <c r="AC11" s="763">
        <v>56907</v>
      </c>
      <c r="AD11" s="763">
        <v>0</v>
      </c>
      <c r="AE11" s="763">
        <v>0</v>
      </c>
      <c r="AF11" s="763">
        <v>370</v>
      </c>
      <c r="AG11" s="281">
        <f>SUM(AC11:AF11)</f>
        <v>57277</v>
      </c>
      <c r="AH11" s="281">
        <f>AG11/AB11*100</f>
        <v>105.00100826779592</v>
      </c>
    </row>
    <row r="12" spans="1:34" ht="14.25">
      <c r="A12" s="299">
        <v>2</v>
      </c>
      <c r="B12" s="764" t="s">
        <v>890</v>
      </c>
      <c r="C12" s="553">
        <v>80531</v>
      </c>
      <c r="D12" s="548">
        <v>0</v>
      </c>
      <c r="E12" s="388">
        <v>0</v>
      </c>
      <c r="F12" s="299">
        <v>85</v>
      </c>
      <c r="G12" s="388">
        <f t="shared" ref="G12:G44" si="0">SUM(C12:F12)</f>
        <v>80616</v>
      </c>
      <c r="H12" s="423">
        <v>233</v>
      </c>
      <c r="I12" s="524">
        <f t="shared" ref="I12:I43" si="1">G12*233*150/1000000</f>
        <v>2817.5291999999999</v>
      </c>
      <c r="J12" s="524">
        <f t="shared" ref="J12:J44" si="2">I12*0.3</f>
        <v>845.25875999999994</v>
      </c>
      <c r="K12" s="524">
        <f t="shared" ref="K12:K44" si="3">I12-J12</f>
        <v>1972.27044</v>
      </c>
      <c r="L12" s="299">
        <v>0</v>
      </c>
      <c r="M12" s="525">
        <f t="shared" ref="M12:M43" si="4">G12*H12*21/1000000</f>
        <v>394.45408800000001</v>
      </c>
      <c r="N12" s="525">
        <f t="shared" ref="N12:N43" si="5">M12*0.5</f>
        <v>197.22704400000001</v>
      </c>
      <c r="O12" s="525">
        <f t="shared" ref="O12:O43" si="6">M12*0.25</f>
        <v>98.613522000000003</v>
      </c>
      <c r="P12" s="525">
        <f t="shared" ref="P12:P43" si="7">M12-N12-O12</f>
        <v>98.613522000000003</v>
      </c>
      <c r="Q12" s="300"/>
      <c r="R12" s="300"/>
      <c r="S12" s="299">
        <v>150</v>
      </c>
      <c r="T12" s="524">
        <v>48.179749319999999</v>
      </c>
      <c r="U12" s="661">
        <f t="shared" ref="U12:U44" si="8">I12+M12</f>
        <v>3211.9832879999999</v>
      </c>
      <c r="V12" s="661">
        <f t="shared" ref="V12:V44" si="9">U12*1500/100000</f>
        <v>48.179749319999999</v>
      </c>
      <c r="X12" s="785">
        <v>76696</v>
      </c>
      <c r="Y12" s="785">
        <v>0</v>
      </c>
      <c r="Z12" s="785">
        <v>0</v>
      </c>
      <c r="AA12" s="785">
        <v>81</v>
      </c>
      <c r="AB12" s="281">
        <f t="shared" ref="AB12:AB44" si="10">SUM(X12:AA12)</f>
        <v>76777</v>
      </c>
      <c r="AC12" s="763">
        <v>80531</v>
      </c>
      <c r="AD12" s="763">
        <v>0</v>
      </c>
      <c r="AE12" s="763">
        <v>0</v>
      </c>
      <c r="AF12" s="763">
        <v>85</v>
      </c>
      <c r="AG12" s="281">
        <f t="shared" ref="AG12:AG43" si="11">SUM(AC12:AF12)</f>
        <v>80616</v>
      </c>
      <c r="AH12" s="281">
        <f t="shared" ref="AH12:AH44" si="12">AG12/AB12*100</f>
        <v>105.00019537100955</v>
      </c>
    </row>
    <row r="13" spans="1:34" ht="14.25">
      <c r="A13" s="299">
        <v>3</v>
      </c>
      <c r="B13" s="764" t="s">
        <v>891</v>
      </c>
      <c r="C13" s="553">
        <v>88844</v>
      </c>
      <c r="D13" s="548">
        <v>0</v>
      </c>
      <c r="E13" s="388">
        <v>542</v>
      </c>
      <c r="F13" s="299">
        <v>143</v>
      </c>
      <c r="G13" s="388">
        <f t="shared" si="0"/>
        <v>89529</v>
      </c>
      <c r="H13" s="423">
        <v>233</v>
      </c>
      <c r="I13" s="524">
        <f t="shared" si="1"/>
        <v>3129.0385500000002</v>
      </c>
      <c r="J13" s="524">
        <f t="shared" si="2"/>
        <v>938.71156500000006</v>
      </c>
      <c r="K13" s="524">
        <f t="shared" si="3"/>
        <v>2190.3269850000001</v>
      </c>
      <c r="L13" s="299">
        <v>0</v>
      </c>
      <c r="M13" s="525">
        <f t="shared" si="4"/>
        <v>438.06539700000002</v>
      </c>
      <c r="N13" s="525">
        <f t="shared" si="5"/>
        <v>219.03269850000001</v>
      </c>
      <c r="O13" s="525">
        <f t="shared" si="6"/>
        <v>109.51634925</v>
      </c>
      <c r="P13" s="525">
        <f t="shared" si="7"/>
        <v>109.51634925</v>
      </c>
      <c r="Q13" s="300"/>
      <c r="R13" s="300"/>
      <c r="S13" s="299">
        <v>150</v>
      </c>
      <c r="T13" s="524">
        <v>53.506559205000002</v>
      </c>
      <c r="U13" s="661">
        <f t="shared" si="8"/>
        <v>3567.1039470000001</v>
      </c>
      <c r="V13" s="661">
        <f t="shared" si="9"/>
        <v>53.506559205000002</v>
      </c>
      <c r="X13" s="785">
        <v>84613</v>
      </c>
      <c r="Y13" s="785">
        <v>0</v>
      </c>
      <c r="Z13" s="785">
        <v>516</v>
      </c>
      <c r="AA13" s="785">
        <v>136</v>
      </c>
      <c r="AB13" s="281">
        <f t="shared" si="10"/>
        <v>85265</v>
      </c>
      <c r="AC13" s="763">
        <v>88844</v>
      </c>
      <c r="AD13" s="763">
        <v>0</v>
      </c>
      <c r="AE13" s="763">
        <v>542</v>
      </c>
      <c r="AF13" s="763">
        <v>143</v>
      </c>
      <c r="AG13" s="281">
        <f t="shared" si="11"/>
        <v>89529</v>
      </c>
      <c r="AH13" s="281">
        <f t="shared" si="12"/>
        <v>105.0008796106257</v>
      </c>
    </row>
    <row r="14" spans="1:34" ht="14.25">
      <c r="A14" s="299">
        <v>4</v>
      </c>
      <c r="B14" s="764" t="s">
        <v>892</v>
      </c>
      <c r="C14" s="553">
        <v>32535</v>
      </c>
      <c r="D14" s="548">
        <v>0</v>
      </c>
      <c r="E14" s="388">
        <v>0</v>
      </c>
      <c r="F14" s="299">
        <v>696</v>
      </c>
      <c r="G14" s="388">
        <f t="shared" si="0"/>
        <v>33231</v>
      </c>
      <c r="H14" s="423">
        <v>233</v>
      </c>
      <c r="I14" s="524">
        <f t="shared" si="1"/>
        <v>1161.42345</v>
      </c>
      <c r="J14" s="524">
        <f t="shared" si="2"/>
        <v>348.42703499999999</v>
      </c>
      <c r="K14" s="524">
        <f t="shared" si="3"/>
        <v>812.99641500000007</v>
      </c>
      <c r="L14" s="299">
        <v>0</v>
      </c>
      <c r="M14" s="525">
        <f t="shared" si="4"/>
        <v>162.59928300000001</v>
      </c>
      <c r="N14" s="525">
        <f t="shared" si="5"/>
        <v>81.299641500000007</v>
      </c>
      <c r="O14" s="525">
        <f t="shared" si="6"/>
        <v>40.649820750000003</v>
      </c>
      <c r="P14" s="525">
        <f t="shared" si="7"/>
        <v>40.649820750000003</v>
      </c>
      <c r="Q14" s="300"/>
      <c r="R14" s="300"/>
      <c r="S14" s="299">
        <v>150</v>
      </c>
      <c r="T14" s="524">
        <v>19.860340995000001</v>
      </c>
      <c r="U14" s="661">
        <f t="shared" si="8"/>
        <v>1324.022733</v>
      </c>
      <c r="V14" s="661">
        <f t="shared" si="9"/>
        <v>19.860340995000001</v>
      </c>
      <c r="X14" s="785">
        <v>30986</v>
      </c>
      <c r="Y14" s="785">
        <v>0</v>
      </c>
      <c r="Z14" s="785">
        <v>0</v>
      </c>
      <c r="AA14" s="785">
        <v>663</v>
      </c>
      <c r="AB14" s="281">
        <f t="shared" si="10"/>
        <v>31649</v>
      </c>
      <c r="AC14" s="763">
        <v>32535</v>
      </c>
      <c r="AD14" s="763">
        <v>0</v>
      </c>
      <c r="AE14" s="763">
        <v>0</v>
      </c>
      <c r="AF14" s="763">
        <v>696</v>
      </c>
      <c r="AG14" s="281">
        <f t="shared" si="11"/>
        <v>33231</v>
      </c>
      <c r="AH14" s="281">
        <f t="shared" si="12"/>
        <v>104.9985781541281</v>
      </c>
    </row>
    <row r="15" spans="1:34" ht="14.25">
      <c r="A15" s="299">
        <v>5</v>
      </c>
      <c r="B15" s="764" t="s">
        <v>893</v>
      </c>
      <c r="C15" s="553">
        <v>105939</v>
      </c>
      <c r="D15" s="548">
        <v>0</v>
      </c>
      <c r="E15" s="388">
        <v>0</v>
      </c>
      <c r="F15" s="299">
        <v>851</v>
      </c>
      <c r="G15" s="388">
        <f t="shared" si="0"/>
        <v>106790</v>
      </c>
      <c r="H15" s="423">
        <v>233</v>
      </c>
      <c r="I15" s="524">
        <f t="shared" si="1"/>
        <v>3732.3105</v>
      </c>
      <c r="J15" s="524">
        <f t="shared" si="2"/>
        <v>1119.6931500000001</v>
      </c>
      <c r="K15" s="524">
        <f t="shared" si="3"/>
        <v>2612.61735</v>
      </c>
      <c r="L15" s="299">
        <v>0</v>
      </c>
      <c r="M15" s="525">
        <f t="shared" si="4"/>
        <v>522.52346999999997</v>
      </c>
      <c r="N15" s="525">
        <f t="shared" si="5"/>
        <v>261.26173499999999</v>
      </c>
      <c r="O15" s="525">
        <f t="shared" si="6"/>
        <v>130.63086749999999</v>
      </c>
      <c r="P15" s="525">
        <f t="shared" si="7"/>
        <v>130.63086749999999</v>
      </c>
      <c r="Q15" s="300"/>
      <c r="R15" s="300"/>
      <c r="S15" s="299">
        <v>150</v>
      </c>
      <c r="T15" s="524">
        <v>63.822509549999992</v>
      </c>
      <c r="U15" s="661">
        <f t="shared" si="8"/>
        <v>4254.8339699999997</v>
      </c>
      <c r="V15" s="661">
        <f t="shared" si="9"/>
        <v>63.822509549999992</v>
      </c>
      <c r="X15" s="785">
        <v>100894</v>
      </c>
      <c r="Y15" s="785">
        <v>0</v>
      </c>
      <c r="Z15" s="785">
        <v>0</v>
      </c>
      <c r="AA15" s="785">
        <v>810</v>
      </c>
      <c r="AB15" s="281">
        <f t="shared" si="10"/>
        <v>101704</v>
      </c>
      <c r="AC15" s="763">
        <v>105939</v>
      </c>
      <c r="AD15" s="763">
        <v>0</v>
      </c>
      <c r="AE15" s="763">
        <v>0</v>
      </c>
      <c r="AF15" s="763">
        <v>851</v>
      </c>
      <c r="AG15" s="281">
        <f t="shared" si="11"/>
        <v>106790</v>
      </c>
      <c r="AH15" s="281">
        <f t="shared" si="12"/>
        <v>105.00078659639738</v>
      </c>
    </row>
    <row r="16" spans="1:34" ht="14.25">
      <c r="A16" s="299">
        <v>6</v>
      </c>
      <c r="B16" s="764" t="s">
        <v>894</v>
      </c>
      <c r="C16" s="553">
        <v>52998</v>
      </c>
      <c r="D16" s="548">
        <v>0</v>
      </c>
      <c r="E16" s="388">
        <v>0</v>
      </c>
      <c r="F16" s="299">
        <v>131</v>
      </c>
      <c r="G16" s="388">
        <f t="shared" si="0"/>
        <v>53129</v>
      </c>
      <c r="H16" s="423">
        <v>233</v>
      </c>
      <c r="I16" s="524">
        <f t="shared" si="1"/>
        <v>1856.8585499999999</v>
      </c>
      <c r="J16" s="524">
        <f t="shared" si="2"/>
        <v>557.05756499999995</v>
      </c>
      <c r="K16" s="524">
        <f t="shared" si="3"/>
        <v>1299.8009849999999</v>
      </c>
      <c r="L16" s="299">
        <v>0</v>
      </c>
      <c r="M16" s="525">
        <f t="shared" si="4"/>
        <v>259.96019699999999</v>
      </c>
      <c r="N16" s="525">
        <f t="shared" si="5"/>
        <v>129.9800985</v>
      </c>
      <c r="O16" s="525">
        <f t="shared" si="6"/>
        <v>64.990049249999998</v>
      </c>
      <c r="P16" s="525">
        <f t="shared" si="7"/>
        <v>64.990049249999998</v>
      </c>
      <c r="Q16" s="300"/>
      <c r="R16" s="300"/>
      <c r="S16" s="299">
        <v>150</v>
      </c>
      <c r="T16" s="524">
        <v>31.752281204999996</v>
      </c>
      <c r="U16" s="661">
        <f t="shared" si="8"/>
        <v>2116.8187469999998</v>
      </c>
      <c r="V16" s="661">
        <f t="shared" si="9"/>
        <v>31.752281204999996</v>
      </c>
      <c r="X16" s="785">
        <v>50476</v>
      </c>
      <c r="Y16" s="785">
        <v>0</v>
      </c>
      <c r="Z16" s="785">
        <v>0</v>
      </c>
      <c r="AA16" s="785">
        <v>125</v>
      </c>
      <c r="AB16" s="281">
        <f t="shared" si="10"/>
        <v>50601</v>
      </c>
      <c r="AC16" s="763">
        <v>52998</v>
      </c>
      <c r="AD16" s="763">
        <v>0</v>
      </c>
      <c r="AE16" s="763">
        <v>0</v>
      </c>
      <c r="AF16" s="763">
        <v>131</v>
      </c>
      <c r="AG16" s="281">
        <f t="shared" si="11"/>
        <v>53129</v>
      </c>
      <c r="AH16" s="281">
        <f t="shared" si="12"/>
        <v>104.99594869666606</v>
      </c>
    </row>
    <row r="17" spans="1:34" ht="14.25">
      <c r="A17" s="299">
        <v>7</v>
      </c>
      <c r="B17" s="764" t="s">
        <v>895</v>
      </c>
      <c r="C17" s="553">
        <v>79719</v>
      </c>
      <c r="D17" s="548">
        <v>0</v>
      </c>
      <c r="E17" s="388">
        <v>0</v>
      </c>
      <c r="F17" s="299">
        <v>574</v>
      </c>
      <c r="G17" s="388">
        <f t="shared" si="0"/>
        <v>80293</v>
      </c>
      <c r="H17" s="423">
        <v>233</v>
      </c>
      <c r="I17" s="524">
        <f t="shared" si="1"/>
        <v>2806.24035</v>
      </c>
      <c r="J17" s="524">
        <f t="shared" si="2"/>
        <v>841.87210500000003</v>
      </c>
      <c r="K17" s="524">
        <f t="shared" si="3"/>
        <v>1964.3682450000001</v>
      </c>
      <c r="L17" s="299">
        <v>0</v>
      </c>
      <c r="M17" s="525">
        <f t="shared" si="4"/>
        <v>392.873649</v>
      </c>
      <c r="N17" s="525">
        <f t="shared" si="5"/>
        <v>196.4368245</v>
      </c>
      <c r="O17" s="525">
        <f t="shared" si="6"/>
        <v>98.21841225</v>
      </c>
      <c r="P17" s="525">
        <f t="shared" si="7"/>
        <v>98.21841225</v>
      </c>
      <c r="Q17" s="300"/>
      <c r="R17" s="300"/>
      <c r="S17" s="299">
        <v>150</v>
      </c>
      <c r="T17" s="524">
        <v>47.986709985000005</v>
      </c>
      <c r="U17" s="661">
        <f t="shared" si="8"/>
        <v>3199.1139990000001</v>
      </c>
      <c r="V17" s="661">
        <f t="shared" si="9"/>
        <v>47.986709985000005</v>
      </c>
      <c r="X17" s="785">
        <v>75923</v>
      </c>
      <c r="Y17" s="785">
        <v>0</v>
      </c>
      <c r="Z17" s="785">
        <v>0</v>
      </c>
      <c r="AA17" s="785">
        <v>547</v>
      </c>
      <c r="AB17" s="281">
        <f t="shared" si="10"/>
        <v>76470</v>
      </c>
      <c r="AC17" s="763">
        <v>79719</v>
      </c>
      <c r="AD17" s="763">
        <v>0</v>
      </c>
      <c r="AE17" s="763">
        <v>0</v>
      </c>
      <c r="AF17" s="763">
        <v>574</v>
      </c>
      <c r="AG17" s="281">
        <f t="shared" si="11"/>
        <v>80293</v>
      </c>
      <c r="AH17" s="281">
        <f t="shared" si="12"/>
        <v>104.99934614881651</v>
      </c>
    </row>
    <row r="18" spans="1:34" ht="14.25">
      <c r="A18" s="299">
        <v>8</v>
      </c>
      <c r="B18" s="764" t="s">
        <v>896</v>
      </c>
      <c r="C18" s="553">
        <v>47181</v>
      </c>
      <c r="D18" s="548">
        <v>0</v>
      </c>
      <c r="E18" s="388">
        <v>0</v>
      </c>
      <c r="F18" s="299">
        <v>191</v>
      </c>
      <c r="G18" s="388">
        <f t="shared" si="0"/>
        <v>47372</v>
      </c>
      <c r="H18" s="423">
        <v>233</v>
      </c>
      <c r="I18" s="524">
        <f t="shared" si="1"/>
        <v>1655.6514</v>
      </c>
      <c r="J18" s="524">
        <f t="shared" si="2"/>
        <v>496.69541999999996</v>
      </c>
      <c r="K18" s="524">
        <f t="shared" si="3"/>
        <v>1158.95598</v>
      </c>
      <c r="L18" s="299">
        <v>0</v>
      </c>
      <c r="M18" s="525">
        <f t="shared" si="4"/>
        <v>231.79119600000001</v>
      </c>
      <c r="N18" s="525">
        <f t="shared" si="5"/>
        <v>115.89559800000001</v>
      </c>
      <c r="O18" s="525">
        <f t="shared" si="6"/>
        <v>57.947799000000003</v>
      </c>
      <c r="P18" s="525">
        <f t="shared" si="7"/>
        <v>57.947799000000003</v>
      </c>
      <c r="Q18" s="300"/>
      <c r="R18" s="300"/>
      <c r="S18" s="299">
        <v>150</v>
      </c>
      <c r="T18" s="524">
        <v>28.311638939999998</v>
      </c>
      <c r="U18" s="661">
        <f t="shared" si="8"/>
        <v>1887.4425959999999</v>
      </c>
      <c r="V18" s="661">
        <f t="shared" si="9"/>
        <v>28.311638939999998</v>
      </c>
      <c r="X18" s="785">
        <v>44934</v>
      </c>
      <c r="Y18" s="785">
        <v>0</v>
      </c>
      <c r="Z18" s="785">
        <v>0</v>
      </c>
      <c r="AA18" s="785">
        <v>182</v>
      </c>
      <c r="AB18" s="281">
        <f t="shared" si="10"/>
        <v>45116</v>
      </c>
      <c r="AC18" s="763">
        <v>47181</v>
      </c>
      <c r="AD18" s="763">
        <v>0</v>
      </c>
      <c r="AE18" s="763">
        <v>0</v>
      </c>
      <c r="AF18" s="763">
        <v>191</v>
      </c>
      <c r="AG18" s="281">
        <f t="shared" si="11"/>
        <v>47372</v>
      </c>
      <c r="AH18" s="281">
        <f t="shared" si="12"/>
        <v>105.00044330171114</v>
      </c>
    </row>
    <row r="19" spans="1:34" ht="14.25">
      <c r="A19" s="299">
        <v>9</v>
      </c>
      <c r="B19" s="764" t="s">
        <v>897</v>
      </c>
      <c r="C19" s="553">
        <v>34094</v>
      </c>
      <c r="D19" s="548">
        <v>0</v>
      </c>
      <c r="E19" s="388">
        <v>0</v>
      </c>
      <c r="F19" s="299">
        <v>181</v>
      </c>
      <c r="G19" s="388">
        <f t="shared" si="0"/>
        <v>34275</v>
      </c>
      <c r="H19" s="423">
        <v>233</v>
      </c>
      <c r="I19" s="524">
        <f t="shared" si="1"/>
        <v>1197.9112500000001</v>
      </c>
      <c r="J19" s="524">
        <f t="shared" si="2"/>
        <v>359.37337500000001</v>
      </c>
      <c r="K19" s="524">
        <f t="shared" si="3"/>
        <v>838.5378750000001</v>
      </c>
      <c r="L19" s="299">
        <v>0</v>
      </c>
      <c r="M19" s="525">
        <f t="shared" si="4"/>
        <v>167.70757499999999</v>
      </c>
      <c r="N19" s="525">
        <f t="shared" si="5"/>
        <v>83.853787499999996</v>
      </c>
      <c r="O19" s="525">
        <f t="shared" si="6"/>
        <v>41.926893749999998</v>
      </c>
      <c r="P19" s="525">
        <f t="shared" si="7"/>
        <v>41.926893749999998</v>
      </c>
      <c r="Q19" s="300"/>
      <c r="R19" s="300"/>
      <c r="S19" s="299">
        <v>150</v>
      </c>
      <c r="T19" s="524">
        <v>20.484282374999999</v>
      </c>
      <c r="U19" s="661">
        <f t="shared" si="8"/>
        <v>1365.618825</v>
      </c>
      <c r="V19" s="661">
        <f t="shared" si="9"/>
        <v>20.484282374999999</v>
      </c>
      <c r="X19" s="785">
        <v>32470</v>
      </c>
      <c r="Y19" s="785">
        <v>0</v>
      </c>
      <c r="Z19" s="785">
        <v>0</v>
      </c>
      <c r="AA19" s="785">
        <v>172</v>
      </c>
      <c r="AB19" s="281">
        <f t="shared" si="10"/>
        <v>32642</v>
      </c>
      <c r="AC19" s="763">
        <v>34094</v>
      </c>
      <c r="AD19" s="763">
        <v>0</v>
      </c>
      <c r="AE19" s="763">
        <v>0</v>
      </c>
      <c r="AF19" s="763">
        <v>181</v>
      </c>
      <c r="AG19" s="281">
        <f t="shared" si="11"/>
        <v>34275</v>
      </c>
      <c r="AH19" s="281">
        <f t="shared" si="12"/>
        <v>105.00275718399608</v>
      </c>
    </row>
    <row r="20" spans="1:34" ht="14.25">
      <c r="A20" s="299">
        <v>10</v>
      </c>
      <c r="B20" s="764" t="s">
        <v>898</v>
      </c>
      <c r="C20" s="553">
        <v>46833</v>
      </c>
      <c r="D20" s="548">
        <v>0</v>
      </c>
      <c r="E20" s="388">
        <v>0</v>
      </c>
      <c r="F20" s="299">
        <v>479</v>
      </c>
      <c r="G20" s="388">
        <f t="shared" si="0"/>
        <v>47312</v>
      </c>
      <c r="H20" s="423">
        <v>233</v>
      </c>
      <c r="I20" s="524">
        <f t="shared" si="1"/>
        <v>1653.5544</v>
      </c>
      <c r="J20" s="524">
        <f t="shared" si="2"/>
        <v>496.06631999999996</v>
      </c>
      <c r="K20" s="524">
        <f t="shared" si="3"/>
        <v>1157.4880800000001</v>
      </c>
      <c r="L20" s="299">
        <v>0</v>
      </c>
      <c r="M20" s="525">
        <f t="shared" si="4"/>
        <v>231.49761599999999</v>
      </c>
      <c r="N20" s="525">
        <f t="shared" si="5"/>
        <v>115.748808</v>
      </c>
      <c r="O20" s="525">
        <f t="shared" si="6"/>
        <v>57.874403999999998</v>
      </c>
      <c r="P20" s="525">
        <f t="shared" si="7"/>
        <v>57.874403999999998</v>
      </c>
      <c r="Q20" s="300"/>
      <c r="R20" s="300"/>
      <c r="S20" s="299">
        <v>150</v>
      </c>
      <c r="T20" s="524">
        <v>28.275780240000003</v>
      </c>
      <c r="U20" s="661">
        <f t="shared" si="8"/>
        <v>1885.0520160000001</v>
      </c>
      <c r="V20" s="661">
        <f t="shared" si="9"/>
        <v>28.275780240000003</v>
      </c>
      <c r="X20" s="785">
        <v>44603</v>
      </c>
      <c r="Y20" s="785">
        <v>0</v>
      </c>
      <c r="Z20" s="785">
        <v>0</v>
      </c>
      <c r="AA20" s="785">
        <v>456</v>
      </c>
      <c r="AB20" s="281">
        <f t="shared" si="10"/>
        <v>45059</v>
      </c>
      <c r="AC20" s="763">
        <v>46833</v>
      </c>
      <c r="AD20" s="763">
        <v>0</v>
      </c>
      <c r="AE20" s="763">
        <v>0</v>
      </c>
      <c r="AF20" s="763">
        <v>479</v>
      </c>
      <c r="AG20" s="281">
        <f t="shared" si="11"/>
        <v>47312</v>
      </c>
      <c r="AH20" s="281">
        <f t="shared" si="12"/>
        <v>105.00011096562285</v>
      </c>
    </row>
    <row r="21" spans="1:34" ht="14.25">
      <c r="A21" s="299">
        <v>11</v>
      </c>
      <c r="B21" s="764" t="s">
        <v>899</v>
      </c>
      <c r="C21" s="553">
        <v>50793</v>
      </c>
      <c r="D21" s="548">
        <v>0</v>
      </c>
      <c r="E21" s="388">
        <v>0</v>
      </c>
      <c r="F21" s="299">
        <v>203</v>
      </c>
      <c r="G21" s="388">
        <f t="shared" si="0"/>
        <v>50996</v>
      </c>
      <c r="H21" s="423">
        <v>233</v>
      </c>
      <c r="I21" s="524">
        <f t="shared" si="1"/>
        <v>1782.3101999999999</v>
      </c>
      <c r="J21" s="524">
        <f t="shared" si="2"/>
        <v>534.69305999999995</v>
      </c>
      <c r="K21" s="524">
        <f t="shared" si="3"/>
        <v>1247.6171399999998</v>
      </c>
      <c r="L21" s="299">
        <v>0</v>
      </c>
      <c r="M21" s="525">
        <f t="shared" si="4"/>
        <v>249.523428</v>
      </c>
      <c r="N21" s="525">
        <f t="shared" si="5"/>
        <v>124.761714</v>
      </c>
      <c r="O21" s="525">
        <f t="shared" si="6"/>
        <v>62.380856999999999</v>
      </c>
      <c r="P21" s="525">
        <f t="shared" si="7"/>
        <v>62.380856999999999</v>
      </c>
      <c r="Q21" s="300"/>
      <c r="R21" s="300"/>
      <c r="S21" s="299">
        <v>150</v>
      </c>
      <c r="T21" s="524">
        <v>30.477504419999999</v>
      </c>
      <c r="U21" s="661">
        <f t="shared" si="8"/>
        <v>2031.8336279999999</v>
      </c>
      <c r="V21" s="661">
        <f t="shared" si="9"/>
        <v>30.477504419999999</v>
      </c>
      <c r="X21" s="785">
        <v>48374</v>
      </c>
      <c r="Y21" s="785">
        <v>0</v>
      </c>
      <c r="Z21" s="785">
        <v>0</v>
      </c>
      <c r="AA21" s="785">
        <v>193</v>
      </c>
      <c r="AB21" s="281">
        <f t="shared" si="10"/>
        <v>48567</v>
      </c>
      <c r="AC21" s="763">
        <v>50793</v>
      </c>
      <c r="AD21" s="763">
        <v>0</v>
      </c>
      <c r="AE21" s="763">
        <v>0</v>
      </c>
      <c r="AF21" s="763">
        <v>203</v>
      </c>
      <c r="AG21" s="281">
        <f t="shared" si="11"/>
        <v>50996</v>
      </c>
      <c r="AH21" s="281">
        <f t="shared" si="12"/>
        <v>105.00133835732082</v>
      </c>
    </row>
    <row r="22" spans="1:34" ht="14.25">
      <c r="A22" s="299">
        <v>12</v>
      </c>
      <c r="B22" s="764" t="s">
        <v>900</v>
      </c>
      <c r="C22" s="553">
        <v>46286</v>
      </c>
      <c r="D22" s="548">
        <v>0</v>
      </c>
      <c r="E22" s="388">
        <v>0</v>
      </c>
      <c r="F22" s="299">
        <v>17</v>
      </c>
      <c r="G22" s="388">
        <f t="shared" si="0"/>
        <v>46303</v>
      </c>
      <c r="H22" s="423">
        <v>233</v>
      </c>
      <c r="I22" s="524">
        <f t="shared" si="1"/>
        <v>1618.2898499999999</v>
      </c>
      <c r="J22" s="524">
        <f t="shared" si="2"/>
        <v>485.48695499999997</v>
      </c>
      <c r="K22" s="524">
        <f t="shared" si="3"/>
        <v>1132.8028949999998</v>
      </c>
      <c r="L22" s="299">
        <v>0</v>
      </c>
      <c r="M22" s="525">
        <f t="shared" si="4"/>
        <v>226.56057899999999</v>
      </c>
      <c r="N22" s="525">
        <f t="shared" si="5"/>
        <v>113.28028949999999</v>
      </c>
      <c r="O22" s="525">
        <f t="shared" si="6"/>
        <v>56.640144749999997</v>
      </c>
      <c r="P22" s="525">
        <f t="shared" si="7"/>
        <v>56.640144749999997</v>
      </c>
      <c r="Q22" s="300"/>
      <c r="R22" s="300"/>
      <c r="S22" s="299">
        <v>150</v>
      </c>
      <c r="T22" s="524">
        <v>27.672756434999997</v>
      </c>
      <c r="U22" s="661">
        <f t="shared" si="8"/>
        <v>1844.8504289999998</v>
      </c>
      <c r="V22" s="661">
        <f t="shared" si="9"/>
        <v>27.672756434999997</v>
      </c>
      <c r="X22" s="785">
        <v>44082</v>
      </c>
      <c r="Y22" s="785">
        <v>0</v>
      </c>
      <c r="Z22" s="785">
        <v>0</v>
      </c>
      <c r="AA22" s="785">
        <v>16</v>
      </c>
      <c r="AB22" s="281">
        <f t="shared" si="10"/>
        <v>44098</v>
      </c>
      <c r="AC22" s="763">
        <v>46286</v>
      </c>
      <c r="AD22" s="763">
        <v>0</v>
      </c>
      <c r="AE22" s="763">
        <v>0</v>
      </c>
      <c r="AF22" s="763">
        <v>17</v>
      </c>
      <c r="AG22" s="281">
        <f t="shared" si="11"/>
        <v>46303</v>
      </c>
      <c r="AH22" s="281">
        <f t="shared" si="12"/>
        <v>105.00022676765386</v>
      </c>
    </row>
    <row r="23" spans="1:34" ht="14.25">
      <c r="A23" s="299">
        <v>13</v>
      </c>
      <c r="B23" s="764" t="s">
        <v>901</v>
      </c>
      <c r="C23" s="553">
        <v>25288</v>
      </c>
      <c r="D23" s="548">
        <v>0</v>
      </c>
      <c r="E23" s="388">
        <v>0</v>
      </c>
      <c r="F23" s="299">
        <v>119</v>
      </c>
      <c r="G23" s="388">
        <f t="shared" si="0"/>
        <v>25407</v>
      </c>
      <c r="H23" s="423">
        <v>233</v>
      </c>
      <c r="I23" s="524">
        <f t="shared" si="1"/>
        <v>887.97465</v>
      </c>
      <c r="J23" s="524">
        <f t="shared" si="2"/>
        <v>266.39239499999996</v>
      </c>
      <c r="K23" s="524">
        <f t="shared" si="3"/>
        <v>621.58225500000003</v>
      </c>
      <c r="L23" s="299">
        <v>0</v>
      </c>
      <c r="M23" s="525">
        <f t="shared" si="4"/>
        <v>124.316451</v>
      </c>
      <c r="N23" s="525">
        <f t="shared" si="5"/>
        <v>62.1582255</v>
      </c>
      <c r="O23" s="525">
        <f t="shared" si="6"/>
        <v>31.07911275</v>
      </c>
      <c r="P23" s="525">
        <f t="shared" si="7"/>
        <v>31.07911275</v>
      </c>
      <c r="Q23" s="300"/>
      <c r="R23" s="300"/>
      <c r="S23" s="299">
        <v>150</v>
      </c>
      <c r="T23" s="524">
        <v>15.184366515000001</v>
      </c>
      <c r="U23" s="661">
        <f t="shared" si="8"/>
        <v>1012.291101</v>
      </c>
      <c r="V23" s="661">
        <f t="shared" si="9"/>
        <v>15.184366515000001</v>
      </c>
      <c r="X23" s="785">
        <v>24084</v>
      </c>
      <c r="Y23" s="785">
        <v>0</v>
      </c>
      <c r="Z23" s="785">
        <v>0</v>
      </c>
      <c r="AA23" s="785">
        <v>113</v>
      </c>
      <c r="AB23" s="281">
        <f t="shared" si="10"/>
        <v>24197</v>
      </c>
      <c r="AC23" s="763">
        <v>25288</v>
      </c>
      <c r="AD23" s="763">
        <v>0</v>
      </c>
      <c r="AE23" s="763">
        <v>0</v>
      </c>
      <c r="AF23" s="763">
        <v>119</v>
      </c>
      <c r="AG23" s="281">
        <f t="shared" si="11"/>
        <v>25407</v>
      </c>
      <c r="AH23" s="281">
        <f t="shared" si="12"/>
        <v>105.00061991155928</v>
      </c>
    </row>
    <row r="24" spans="1:34" ht="14.25">
      <c r="A24" s="299">
        <v>14</v>
      </c>
      <c r="B24" s="764" t="s">
        <v>902</v>
      </c>
      <c r="C24" s="553">
        <v>63809</v>
      </c>
      <c r="D24" s="548">
        <v>0</v>
      </c>
      <c r="E24" s="388">
        <v>0</v>
      </c>
      <c r="F24" s="299">
        <v>65</v>
      </c>
      <c r="G24" s="388">
        <f t="shared" si="0"/>
        <v>63874</v>
      </c>
      <c r="H24" s="423">
        <v>233</v>
      </c>
      <c r="I24" s="524">
        <f t="shared" si="1"/>
        <v>2232.3962999999999</v>
      </c>
      <c r="J24" s="524">
        <f t="shared" si="2"/>
        <v>669.71888999999999</v>
      </c>
      <c r="K24" s="524">
        <f t="shared" si="3"/>
        <v>1562.6774099999998</v>
      </c>
      <c r="L24" s="299">
        <v>0</v>
      </c>
      <c r="M24" s="525">
        <f t="shared" si="4"/>
        <v>312.535482</v>
      </c>
      <c r="N24" s="525">
        <f t="shared" si="5"/>
        <v>156.267741</v>
      </c>
      <c r="O24" s="525">
        <f t="shared" si="6"/>
        <v>78.1338705</v>
      </c>
      <c r="P24" s="525">
        <f t="shared" si="7"/>
        <v>78.1338705</v>
      </c>
      <c r="Q24" s="300"/>
      <c r="R24" s="300"/>
      <c r="S24" s="299">
        <v>150</v>
      </c>
      <c r="T24" s="524">
        <v>38.173976729999993</v>
      </c>
      <c r="U24" s="661">
        <f t="shared" si="8"/>
        <v>2544.9317819999997</v>
      </c>
      <c r="V24" s="661">
        <f t="shared" si="9"/>
        <v>38.173976729999993</v>
      </c>
      <c r="X24" s="785">
        <v>60770</v>
      </c>
      <c r="Y24" s="785">
        <v>0</v>
      </c>
      <c r="Z24" s="785">
        <v>0</v>
      </c>
      <c r="AA24" s="785">
        <v>62</v>
      </c>
      <c r="AB24" s="281">
        <f t="shared" si="10"/>
        <v>60832</v>
      </c>
      <c r="AC24" s="763">
        <v>63809</v>
      </c>
      <c r="AD24" s="763">
        <v>0</v>
      </c>
      <c r="AE24" s="763">
        <v>0</v>
      </c>
      <c r="AF24" s="763">
        <v>65</v>
      </c>
      <c r="AG24" s="281">
        <f t="shared" si="11"/>
        <v>63874</v>
      </c>
      <c r="AH24" s="281">
        <f t="shared" si="12"/>
        <v>105.00065754865859</v>
      </c>
    </row>
    <row r="25" spans="1:34" ht="14.25">
      <c r="A25" s="299">
        <v>15</v>
      </c>
      <c r="B25" s="764" t="s">
        <v>903</v>
      </c>
      <c r="C25" s="553">
        <v>33065</v>
      </c>
      <c r="D25" s="548">
        <v>0</v>
      </c>
      <c r="E25" s="388">
        <v>0</v>
      </c>
      <c r="F25" s="299">
        <v>0</v>
      </c>
      <c r="G25" s="388">
        <f t="shared" si="0"/>
        <v>33065</v>
      </c>
      <c r="H25" s="423">
        <v>233</v>
      </c>
      <c r="I25" s="524">
        <f t="shared" si="1"/>
        <v>1155.62175</v>
      </c>
      <c r="J25" s="524">
        <f t="shared" si="2"/>
        <v>346.68652500000002</v>
      </c>
      <c r="K25" s="524">
        <f t="shared" si="3"/>
        <v>808.93522499999995</v>
      </c>
      <c r="L25" s="299">
        <v>0</v>
      </c>
      <c r="M25" s="525">
        <f t="shared" si="4"/>
        <v>161.78704500000001</v>
      </c>
      <c r="N25" s="525">
        <f t="shared" si="5"/>
        <v>80.893522500000003</v>
      </c>
      <c r="O25" s="525">
        <f t="shared" si="6"/>
        <v>40.446761250000002</v>
      </c>
      <c r="P25" s="525">
        <f t="shared" si="7"/>
        <v>40.446761250000002</v>
      </c>
      <c r="Q25" s="300"/>
      <c r="R25" s="300"/>
      <c r="S25" s="299">
        <v>150</v>
      </c>
      <c r="T25" s="524">
        <v>19.761131925000001</v>
      </c>
      <c r="U25" s="661">
        <f t="shared" si="8"/>
        <v>1317.4087950000001</v>
      </c>
      <c r="V25" s="661">
        <f t="shared" si="9"/>
        <v>19.761131925000001</v>
      </c>
      <c r="X25" s="785">
        <v>31490</v>
      </c>
      <c r="Y25" s="785">
        <v>0</v>
      </c>
      <c r="Z25" s="785">
        <v>0</v>
      </c>
      <c r="AA25" s="785">
        <v>0</v>
      </c>
      <c r="AB25" s="281">
        <f t="shared" si="10"/>
        <v>31490</v>
      </c>
      <c r="AC25" s="763">
        <v>33065</v>
      </c>
      <c r="AD25" s="763">
        <v>0</v>
      </c>
      <c r="AE25" s="763">
        <v>0</v>
      </c>
      <c r="AF25" s="763">
        <v>0</v>
      </c>
      <c r="AG25" s="281">
        <f t="shared" si="11"/>
        <v>33065</v>
      </c>
      <c r="AH25" s="281">
        <f t="shared" si="12"/>
        <v>105.00158780565259</v>
      </c>
    </row>
    <row r="26" spans="1:34" ht="14.25">
      <c r="A26" s="299">
        <v>16</v>
      </c>
      <c r="B26" s="764" t="s">
        <v>904</v>
      </c>
      <c r="C26" s="553">
        <v>48773</v>
      </c>
      <c r="D26" s="548">
        <v>0</v>
      </c>
      <c r="E26" s="388">
        <v>0</v>
      </c>
      <c r="F26" s="299">
        <v>59</v>
      </c>
      <c r="G26" s="388">
        <f t="shared" si="0"/>
        <v>48832</v>
      </c>
      <c r="H26" s="423">
        <v>233</v>
      </c>
      <c r="I26" s="524">
        <f t="shared" si="1"/>
        <v>1706.6784</v>
      </c>
      <c r="J26" s="524">
        <f t="shared" si="2"/>
        <v>512.00351999999998</v>
      </c>
      <c r="K26" s="524">
        <f t="shared" si="3"/>
        <v>1194.67488</v>
      </c>
      <c r="L26" s="299">
        <v>0</v>
      </c>
      <c r="M26" s="525">
        <f t="shared" si="4"/>
        <v>238.93497600000001</v>
      </c>
      <c r="N26" s="525">
        <f t="shared" si="5"/>
        <v>119.467488</v>
      </c>
      <c r="O26" s="525">
        <f t="shared" si="6"/>
        <v>59.733744000000002</v>
      </c>
      <c r="P26" s="525">
        <f t="shared" si="7"/>
        <v>59.733744000000002</v>
      </c>
      <c r="Q26" s="300"/>
      <c r="R26" s="300"/>
      <c r="S26" s="299">
        <v>150</v>
      </c>
      <c r="T26" s="524">
        <v>29.184200640000004</v>
      </c>
      <c r="U26" s="661">
        <f t="shared" si="8"/>
        <v>1945.613376</v>
      </c>
      <c r="V26" s="661">
        <f t="shared" si="9"/>
        <v>29.184200640000004</v>
      </c>
      <c r="X26" s="785">
        <v>46450</v>
      </c>
      <c r="Y26" s="785">
        <v>0</v>
      </c>
      <c r="Z26" s="785">
        <v>0</v>
      </c>
      <c r="AA26" s="785">
        <v>56</v>
      </c>
      <c r="AB26" s="281">
        <f t="shared" si="10"/>
        <v>46506</v>
      </c>
      <c r="AC26" s="763">
        <v>48773</v>
      </c>
      <c r="AD26" s="763">
        <v>0</v>
      </c>
      <c r="AE26" s="763">
        <v>0</v>
      </c>
      <c r="AF26" s="763">
        <v>59</v>
      </c>
      <c r="AG26" s="281">
        <f t="shared" si="11"/>
        <v>48832</v>
      </c>
      <c r="AH26" s="281">
        <f t="shared" si="12"/>
        <v>105.00150518212703</v>
      </c>
    </row>
    <row r="27" spans="1:34" ht="14.25">
      <c r="A27" s="299">
        <v>17</v>
      </c>
      <c r="B27" s="764" t="s">
        <v>905</v>
      </c>
      <c r="C27" s="553">
        <v>82215</v>
      </c>
      <c r="D27" s="548">
        <v>0</v>
      </c>
      <c r="E27" s="388">
        <v>0</v>
      </c>
      <c r="F27" s="299">
        <v>1185</v>
      </c>
      <c r="G27" s="388">
        <f t="shared" si="0"/>
        <v>83400</v>
      </c>
      <c r="H27" s="423">
        <v>233</v>
      </c>
      <c r="I27" s="524">
        <f t="shared" si="1"/>
        <v>2914.83</v>
      </c>
      <c r="J27" s="524">
        <f t="shared" si="2"/>
        <v>874.44899999999996</v>
      </c>
      <c r="K27" s="524">
        <f t="shared" si="3"/>
        <v>2040.3809999999999</v>
      </c>
      <c r="L27" s="299">
        <v>0</v>
      </c>
      <c r="M27" s="525">
        <f t="shared" si="4"/>
        <v>408.07619999999997</v>
      </c>
      <c r="N27" s="525">
        <f t="shared" si="5"/>
        <v>204.03809999999999</v>
      </c>
      <c r="O27" s="525">
        <f t="shared" si="6"/>
        <v>102.01904999999999</v>
      </c>
      <c r="P27" s="525">
        <f t="shared" si="7"/>
        <v>102.01904999999999</v>
      </c>
      <c r="Q27" s="300"/>
      <c r="R27" s="300"/>
      <c r="S27" s="299">
        <v>150</v>
      </c>
      <c r="T27" s="524">
        <v>49.843592999999998</v>
      </c>
      <c r="U27" s="661">
        <f t="shared" si="8"/>
        <v>3322.9061999999999</v>
      </c>
      <c r="V27" s="661">
        <f t="shared" si="9"/>
        <v>49.843592999999998</v>
      </c>
      <c r="X27" s="785">
        <v>78300</v>
      </c>
      <c r="Y27" s="785">
        <v>0</v>
      </c>
      <c r="Z27" s="785">
        <v>0</v>
      </c>
      <c r="AA27" s="785">
        <v>1129</v>
      </c>
      <c r="AB27" s="281">
        <f t="shared" si="10"/>
        <v>79429</v>
      </c>
      <c r="AC27" s="763">
        <v>82215</v>
      </c>
      <c r="AD27" s="763">
        <v>0</v>
      </c>
      <c r="AE27" s="763">
        <v>0</v>
      </c>
      <c r="AF27" s="763">
        <v>1185</v>
      </c>
      <c r="AG27" s="281">
        <f t="shared" si="11"/>
        <v>83400</v>
      </c>
      <c r="AH27" s="281">
        <f t="shared" si="12"/>
        <v>104.9994334562943</v>
      </c>
    </row>
    <row r="28" spans="1:34" ht="14.25">
      <c r="A28" s="299">
        <v>18</v>
      </c>
      <c r="B28" s="764" t="s">
        <v>906</v>
      </c>
      <c r="C28" s="553">
        <v>24493</v>
      </c>
      <c r="D28" s="548">
        <v>0</v>
      </c>
      <c r="E28" s="388">
        <v>0</v>
      </c>
      <c r="F28" s="299">
        <v>276</v>
      </c>
      <c r="G28" s="388">
        <f t="shared" si="0"/>
        <v>24769</v>
      </c>
      <c r="H28" s="423">
        <v>233</v>
      </c>
      <c r="I28" s="524">
        <f t="shared" si="1"/>
        <v>865.67655000000002</v>
      </c>
      <c r="J28" s="524">
        <f t="shared" si="2"/>
        <v>259.70296500000001</v>
      </c>
      <c r="K28" s="524">
        <f t="shared" si="3"/>
        <v>605.97358499999996</v>
      </c>
      <c r="L28" s="299">
        <v>0</v>
      </c>
      <c r="M28" s="525">
        <f t="shared" si="4"/>
        <v>121.194717</v>
      </c>
      <c r="N28" s="525">
        <f t="shared" si="5"/>
        <v>60.597358499999999</v>
      </c>
      <c r="O28" s="525">
        <f t="shared" si="6"/>
        <v>30.298679249999999</v>
      </c>
      <c r="P28" s="525">
        <f t="shared" si="7"/>
        <v>30.298679249999999</v>
      </c>
      <c r="Q28" s="300"/>
      <c r="R28" s="300"/>
      <c r="S28" s="299">
        <v>150</v>
      </c>
      <c r="T28" s="524">
        <v>14.803069004999999</v>
      </c>
      <c r="U28" s="661">
        <f t="shared" si="8"/>
        <v>986.87126699999999</v>
      </c>
      <c r="V28" s="661">
        <f t="shared" si="9"/>
        <v>14.803069004999999</v>
      </c>
      <c r="X28" s="785">
        <v>23327</v>
      </c>
      <c r="Y28" s="785">
        <v>0</v>
      </c>
      <c r="Z28" s="785">
        <v>0</v>
      </c>
      <c r="AA28" s="785">
        <v>263</v>
      </c>
      <c r="AB28" s="281">
        <f t="shared" si="10"/>
        <v>23590</v>
      </c>
      <c r="AC28" s="763">
        <v>24493</v>
      </c>
      <c r="AD28" s="763">
        <v>0</v>
      </c>
      <c r="AE28" s="763">
        <v>0</v>
      </c>
      <c r="AF28" s="763">
        <v>276</v>
      </c>
      <c r="AG28" s="281">
        <f t="shared" si="11"/>
        <v>24769</v>
      </c>
      <c r="AH28" s="281">
        <f t="shared" si="12"/>
        <v>104.9978804578211</v>
      </c>
    </row>
    <row r="29" spans="1:34" ht="14.25">
      <c r="A29" s="299">
        <v>19</v>
      </c>
      <c r="B29" s="764" t="s">
        <v>907</v>
      </c>
      <c r="C29" s="553">
        <v>46329</v>
      </c>
      <c r="D29" s="548">
        <v>0</v>
      </c>
      <c r="E29" s="388">
        <v>0</v>
      </c>
      <c r="F29" s="299">
        <v>86</v>
      </c>
      <c r="G29" s="388">
        <f t="shared" si="0"/>
        <v>46415</v>
      </c>
      <c r="H29" s="423">
        <v>233</v>
      </c>
      <c r="I29" s="524">
        <f t="shared" si="1"/>
        <v>1622.20425</v>
      </c>
      <c r="J29" s="524">
        <f t="shared" si="2"/>
        <v>486.66127499999999</v>
      </c>
      <c r="K29" s="524">
        <f t="shared" si="3"/>
        <v>1135.5429750000001</v>
      </c>
      <c r="L29" s="299">
        <v>0</v>
      </c>
      <c r="M29" s="525">
        <f t="shared" si="4"/>
        <v>227.10859500000001</v>
      </c>
      <c r="N29" s="525">
        <f t="shared" si="5"/>
        <v>113.5542975</v>
      </c>
      <c r="O29" s="525">
        <f t="shared" si="6"/>
        <v>56.777148750000002</v>
      </c>
      <c r="P29" s="525">
        <f t="shared" si="7"/>
        <v>56.777148750000002</v>
      </c>
      <c r="Q29" s="300"/>
      <c r="R29" s="300"/>
      <c r="S29" s="299">
        <v>150</v>
      </c>
      <c r="T29" s="524">
        <v>27.739692675000001</v>
      </c>
      <c r="U29" s="661">
        <f t="shared" si="8"/>
        <v>1849.3128449999999</v>
      </c>
      <c r="V29" s="661">
        <f t="shared" si="9"/>
        <v>27.739692675000001</v>
      </c>
      <c r="X29" s="785">
        <v>44123</v>
      </c>
      <c r="Y29" s="785">
        <v>0</v>
      </c>
      <c r="Z29" s="785">
        <v>0</v>
      </c>
      <c r="AA29" s="785">
        <v>82</v>
      </c>
      <c r="AB29" s="281">
        <f t="shared" si="10"/>
        <v>44205</v>
      </c>
      <c r="AC29" s="763">
        <v>46329</v>
      </c>
      <c r="AD29" s="763">
        <v>0</v>
      </c>
      <c r="AE29" s="763">
        <v>0</v>
      </c>
      <c r="AF29" s="763">
        <v>86</v>
      </c>
      <c r="AG29" s="281">
        <f t="shared" si="11"/>
        <v>46415</v>
      </c>
      <c r="AH29" s="281">
        <f t="shared" si="12"/>
        <v>104.99943445311617</v>
      </c>
    </row>
    <row r="30" spans="1:34" ht="14.25">
      <c r="A30" s="299">
        <v>20</v>
      </c>
      <c r="B30" s="764" t="s">
        <v>908</v>
      </c>
      <c r="C30" s="553">
        <v>41345</v>
      </c>
      <c r="D30" s="548">
        <v>0</v>
      </c>
      <c r="E30" s="388">
        <v>82</v>
      </c>
      <c r="F30" s="299">
        <v>208</v>
      </c>
      <c r="G30" s="388">
        <f t="shared" si="0"/>
        <v>41635</v>
      </c>
      <c r="H30" s="423">
        <v>233</v>
      </c>
      <c r="I30" s="524">
        <f t="shared" si="1"/>
        <v>1455.1432500000001</v>
      </c>
      <c r="J30" s="524">
        <f t="shared" si="2"/>
        <v>436.54297500000001</v>
      </c>
      <c r="K30" s="524">
        <f t="shared" si="3"/>
        <v>1018.600275</v>
      </c>
      <c r="L30" s="299">
        <v>0</v>
      </c>
      <c r="M30" s="525">
        <f t="shared" si="4"/>
        <v>203.720055</v>
      </c>
      <c r="N30" s="525">
        <f t="shared" si="5"/>
        <v>101.8600275</v>
      </c>
      <c r="O30" s="525">
        <f t="shared" si="6"/>
        <v>50.930013750000001</v>
      </c>
      <c r="P30" s="525">
        <f t="shared" si="7"/>
        <v>50.930013750000001</v>
      </c>
      <c r="Q30" s="300"/>
      <c r="R30" s="300"/>
      <c r="S30" s="299">
        <v>150</v>
      </c>
      <c r="T30" s="524">
        <v>24.882949575000001</v>
      </c>
      <c r="U30" s="661">
        <f t="shared" si="8"/>
        <v>1658.8633050000001</v>
      </c>
      <c r="V30" s="661">
        <f t="shared" si="9"/>
        <v>24.882949575000001</v>
      </c>
      <c r="X30" s="785">
        <v>39376</v>
      </c>
      <c r="Y30" s="785">
        <v>0</v>
      </c>
      <c r="Z30" s="785">
        <v>78</v>
      </c>
      <c r="AA30" s="785">
        <v>198</v>
      </c>
      <c r="AB30" s="281">
        <f t="shared" si="10"/>
        <v>39652</v>
      </c>
      <c r="AC30" s="763">
        <v>41345</v>
      </c>
      <c r="AD30" s="763">
        <v>0</v>
      </c>
      <c r="AE30" s="763">
        <v>82</v>
      </c>
      <c r="AF30" s="763">
        <v>208</v>
      </c>
      <c r="AG30" s="281">
        <f t="shared" si="11"/>
        <v>41635</v>
      </c>
      <c r="AH30" s="281">
        <f t="shared" si="12"/>
        <v>105.00100877635428</v>
      </c>
    </row>
    <row r="31" spans="1:34" ht="14.25">
      <c r="A31" s="299">
        <v>21</v>
      </c>
      <c r="B31" s="764" t="s">
        <v>909</v>
      </c>
      <c r="C31" s="553">
        <v>33170</v>
      </c>
      <c r="D31" s="548">
        <v>0</v>
      </c>
      <c r="E31" s="388">
        <v>0</v>
      </c>
      <c r="F31" s="299">
        <v>138</v>
      </c>
      <c r="G31" s="388">
        <f t="shared" si="0"/>
        <v>33308</v>
      </c>
      <c r="H31" s="423">
        <v>233</v>
      </c>
      <c r="I31" s="524">
        <f t="shared" si="1"/>
        <v>1164.1146000000001</v>
      </c>
      <c r="J31" s="524">
        <f t="shared" si="2"/>
        <v>349.23438000000004</v>
      </c>
      <c r="K31" s="524">
        <f t="shared" si="3"/>
        <v>814.88022000000001</v>
      </c>
      <c r="L31" s="299">
        <v>0</v>
      </c>
      <c r="M31" s="525">
        <f t="shared" si="4"/>
        <v>162.976044</v>
      </c>
      <c r="N31" s="525">
        <f t="shared" si="5"/>
        <v>81.488022000000001</v>
      </c>
      <c r="O31" s="525">
        <f t="shared" si="6"/>
        <v>40.744011</v>
      </c>
      <c r="P31" s="525">
        <f t="shared" si="7"/>
        <v>40.744011</v>
      </c>
      <c r="Q31" s="300"/>
      <c r="R31" s="300"/>
      <c r="S31" s="299">
        <v>150</v>
      </c>
      <c r="T31" s="524">
        <v>19.906359660000003</v>
      </c>
      <c r="U31" s="661">
        <f t="shared" si="8"/>
        <v>1327.0906440000001</v>
      </c>
      <c r="V31" s="661">
        <f t="shared" si="9"/>
        <v>19.906359660000003</v>
      </c>
      <c r="X31" s="785">
        <v>31591</v>
      </c>
      <c r="Y31" s="785">
        <v>0</v>
      </c>
      <c r="Z31" s="785">
        <v>0</v>
      </c>
      <c r="AA31" s="785">
        <v>131</v>
      </c>
      <c r="AB31" s="281">
        <f t="shared" si="10"/>
        <v>31722</v>
      </c>
      <c r="AC31" s="763">
        <v>33170</v>
      </c>
      <c r="AD31" s="763">
        <v>0</v>
      </c>
      <c r="AE31" s="763">
        <v>0</v>
      </c>
      <c r="AF31" s="763">
        <v>138</v>
      </c>
      <c r="AG31" s="281">
        <f t="shared" si="11"/>
        <v>33308</v>
      </c>
      <c r="AH31" s="281">
        <f t="shared" si="12"/>
        <v>104.99968476136434</v>
      </c>
    </row>
    <row r="32" spans="1:34" ht="14.25">
      <c r="A32" s="299">
        <v>22</v>
      </c>
      <c r="B32" s="764" t="s">
        <v>910</v>
      </c>
      <c r="C32" s="553">
        <v>66582</v>
      </c>
      <c r="D32" s="548">
        <v>0</v>
      </c>
      <c r="E32" s="388">
        <v>0</v>
      </c>
      <c r="F32" s="299">
        <v>1172</v>
      </c>
      <c r="G32" s="388">
        <f t="shared" si="0"/>
        <v>67754</v>
      </c>
      <c r="H32" s="423">
        <v>233</v>
      </c>
      <c r="I32" s="524">
        <f t="shared" si="1"/>
        <v>2368.0023000000001</v>
      </c>
      <c r="J32" s="524">
        <f t="shared" si="2"/>
        <v>710.40069000000005</v>
      </c>
      <c r="K32" s="524">
        <f t="shared" si="3"/>
        <v>1657.6016100000002</v>
      </c>
      <c r="L32" s="299">
        <v>0</v>
      </c>
      <c r="M32" s="525">
        <f t="shared" si="4"/>
        <v>331.52032200000002</v>
      </c>
      <c r="N32" s="525">
        <f t="shared" si="5"/>
        <v>165.76016100000001</v>
      </c>
      <c r="O32" s="525">
        <f t="shared" si="6"/>
        <v>82.880080500000005</v>
      </c>
      <c r="P32" s="525">
        <f t="shared" si="7"/>
        <v>82.880080500000005</v>
      </c>
      <c r="Q32" s="300"/>
      <c r="R32" s="300"/>
      <c r="S32" s="299">
        <v>150</v>
      </c>
      <c r="T32" s="524">
        <v>40.492839329999995</v>
      </c>
      <c r="U32" s="661">
        <f t="shared" si="8"/>
        <v>2699.522622</v>
      </c>
      <c r="V32" s="661">
        <f t="shared" si="9"/>
        <v>40.492839329999995</v>
      </c>
      <c r="X32" s="785">
        <v>63411</v>
      </c>
      <c r="Y32" s="785">
        <v>0</v>
      </c>
      <c r="Z32" s="785">
        <v>0</v>
      </c>
      <c r="AA32" s="785">
        <v>1116</v>
      </c>
      <c r="AB32" s="281">
        <f t="shared" si="10"/>
        <v>64527</v>
      </c>
      <c r="AC32" s="763">
        <v>66582</v>
      </c>
      <c r="AD32" s="763">
        <v>0</v>
      </c>
      <c r="AE32" s="763">
        <v>0</v>
      </c>
      <c r="AF32" s="763">
        <v>1172</v>
      </c>
      <c r="AG32" s="281">
        <f t="shared" si="11"/>
        <v>67754</v>
      </c>
      <c r="AH32" s="281">
        <f t="shared" si="12"/>
        <v>105.00100733026485</v>
      </c>
    </row>
    <row r="33" spans="1:34" ht="14.25">
      <c r="A33" s="299">
        <v>23</v>
      </c>
      <c r="B33" s="764" t="s">
        <v>911</v>
      </c>
      <c r="C33" s="553">
        <v>31881</v>
      </c>
      <c r="D33" s="548">
        <v>0</v>
      </c>
      <c r="E33" s="388">
        <v>0</v>
      </c>
      <c r="F33" s="299">
        <v>0</v>
      </c>
      <c r="G33" s="388">
        <f t="shared" si="0"/>
        <v>31881</v>
      </c>
      <c r="H33" s="423">
        <v>233</v>
      </c>
      <c r="I33" s="524">
        <f t="shared" si="1"/>
        <v>1114.2409500000001</v>
      </c>
      <c r="J33" s="524">
        <f t="shared" si="2"/>
        <v>334.27228500000001</v>
      </c>
      <c r="K33" s="524">
        <f t="shared" si="3"/>
        <v>779.9686650000001</v>
      </c>
      <c r="L33" s="299">
        <v>0</v>
      </c>
      <c r="M33" s="525">
        <f t="shared" si="4"/>
        <v>155.99373299999999</v>
      </c>
      <c r="N33" s="525">
        <f t="shared" si="5"/>
        <v>77.996866499999996</v>
      </c>
      <c r="O33" s="525">
        <f t="shared" si="6"/>
        <v>38.998433249999998</v>
      </c>
      <c r="P33" s="525">
        <f t="shared" si="7"/>
        <v>38.998433249999998</v>
      </c>
      <c r="Q33" s="300"/>
      <c r="R33" s="300"/>
      <c r="S33" s="299">
        <v>150</v>
      </c>
      <c r="T33" s="524">
        <v>19.053520245000001</v>
      </c>
      <c r="U33" s="661">
        <f t="shared" si="8"/>
        <v>1270.2346830000001</v>
      </c>
      <c r="V33" s="661">
        <f t="shared" si="9"/>
        <v>19.053520245000001</v>
      </c>
      <c r="X33" s="785">
        <v>30363</v>
      </c>
      <c r="Y33" s="785">
        <v>0</v>
      </c>
      <c r="Z33" s="785">
        <v>0</v>
      </c>
      <c r="AA33" s="785">
        <v>0</v>
      </c>
      <c r="AB33" s="281">
        <f t="shared" si="10"/>
        <v>30363</v>
      </c>
      <c r="AC33" s="763">
        <v>31881</v>
      </c>
      <c r="AD33" s="763">
        <v>0</v>
      </c>
      <c r="AE33" s="763">
        <v>0</v>
      </c>
      <c r="AF33" s="763">
        <v>0</v>
      </c>
      <c r="AG33" s="281">
        <f t="shared" si="11"/>
        <v>31881</v>
      </c>
      <c r="AH33" s="281">
        <f t="shared" si="12"/>
        <v>104.99950597767018</v>
      </c>
    </row>
    <row r="34" spans="1:34" ht="14.25">
      <c r="A34" s="299">
        <v>24</v>
      </c>
      <c r="B34" s="764" t="s">
        <v>912</v>
      </c>
      <c r="C34" s="553">
        <v>30920</v>
      </c>
      <c r="D34" s="548">
        <v>0</v>
      </c>
      <c r="E34" s="388">
        <v>0</v>
      </c>
      <c r="F34" s="299">
        <v>235</v>
      </c>
      <c r="G34" s="388">
        <f t="shared" si="0"/>
        <v>31155</v>
      </c>
      <c r="H34" s="423">
        <v>233</v>
      </c>
      <c r="I34" s="524">
        <f t="shared" si="1"/>
        <v>1088.86725</v>
      </c>
      <c r="J34" s="524">
        <f t="shared" si="2"/>
        <v>326.66017499999998</v>
      </c>
      <c r="K34" s="524">
        <f t="shared" si="3"/>
        <v>762.20707500000003</v>
      </c>
      <c r="L34" s="299">
        <v>0</v>
      </c>
      <c r="M34" s="525">
        <f t="shared" si="4"/>
        <v>152.44141500000001</v>
      </c>
      <c r="N34" s="525">
        <f t="shared" si="5"/>
        <v>76.220707500000003</v>
      </c>
      <c r="O34" s="525">
        <f t="shared" si="6"/>
        <v>38.110353750000002</v>
      </c>
      <c r="P34" s="525">
        <f t="shared" si="7"/>
        <v>38.110353750000002</v>
      </c>
      <c r="Q34" s="300"/>
      <c r="R34" s="300"/>
      <c r="S34" s="299">
        <v>150</v>
      </c>
      <c r="T34" s="524">
        <v>18.619629975000002</v>
      </c>
      <c r="U34" s="661">
        <f t="shared" si="8"/>
        <v>1241.308665</v>
      </c>
      <c r="V34" s="661">
        <f t="shared" si="9"/>
        <v>18.619629975000002</v>
      </c>
      <c r="X34" s="785">
        <v>29448</v>
      </c>
      <c r="Y34" s="785">
        <v>0</v>
      </c>
      <c r="Z34" s="785">
        <v>0</v>
      </c>
      <c r="AA34" s="785">
        <v>224</v>
      </c>
      <c r="AB34" s="281">
        <f t="shared" si="10"/>
        <v>29672</v>
      </c>
      <c r="AC34" s="763">
        <v>30920</v>
      </c>
      <c r="AD34" s="763">
        <v>0</v>
      </c>
      <c r="AE34" s="763">
        <v>0</v>
      </c>
      <c r="AF34" s="763">
        <v>235</v>
      </c>
      <c r="AG34" s="281">
        <f t="shared" si="11"/>
        <v>31155</v>
      </c>
      <c r="AH34" s="281">
        <f t="shared" si="12"/>
        <v>104.99797789161498</v>
      </c>
    </row>
    <row r="35" spans="1:34" ht="14.25">
      <c r="A35" s="299">
        <v>25</v>
      </c>
      <c r="B35" s="764" t="s">
        <v>913</v>
      </c>
      <c r="C35" s="553">
        <v>79863</v>
      </c>
      <c r="D35" s="548">
        <v>0</v>
      </c>
      <c r="E35" s="388">
        <v>0</v>
      </c>
      <c r="F35" s="299">
        <v>2506</v>
      </c>
      <c r="G35" s="388">
        <f t="shared" si="0"/>
        <v>82369</v>
      </c>
      <c r="H35" s="423">
        <v>233</v>
      </c>
      <c r="I35" s="524">
        <f t="shared" si="1"/>
        <v>2878.79655</v>
      </c>
      <c r="J35" s="524">
        <f t="shared" si="2"/>
        <v>863.63896499999998</v>
      </c>
      <c r="K35" s="524">
        <f t="shared" si="3"/>
        <v>2015.1575849999999</v>
      </c>
      <c r="L35" s="299">
        <v>0</v>
      </c>
      <c r="M35" s="525">
        <f t="shared" si="4"/>
        <v>403.03151700000001</v>
      </c>
      <c r="N35" s="525">
        <f t="shared" si="5"/>
        <v>201.5157585</v>
      </c>
      <c r="O35" s="525">
        <f t="shared" si="6"/>
        <v>100.75787925</v>
      </c>
      <c r="P35" s="525">
        <f t="shared" si="7"/>
        <v>100.75787925</v>
      </c>
      <c r="Q35" s="300"/>
      <c r="R35" s="300"/>
      <c r="S35" s="299">
        <v>150</v>
      </c>
      <c r="T35" s="524">
        <v>49.227421004999997</v>
      </c>
      <c r="U35" s="661">
        <f t="shared" si="8"/>
        <v>3281.8280669999999</v>
      </c>
      <c r="V35" s="661">
        <f t="shared" si="9"/>
        <v>49.227421004999997</v>
      </c>
      <c r="X35" s="785">
        <v>76060</v>
      </c>
      <c r="Y35" s="785">
        <v>0</v>
      </c>
      <c r="Z35" s="785">
        <v>0</v>
      </c>
      <c r="AA35" s="785">
        <v>2387</v>
      </c>
      <c r="AB35" s="281">
        <f t="shared" si="10"/>
        <v>78447</v>
      </c>
      <c r="AC35" s="763">
        <v>79863</v>
      </c>
      <c r="AD35" s="763">
        <v>0</v>
      </c>
      <c r="AE35" s="763">
        <v>0</v>
      </c>
      <c r="AF35" s="763">
        <v>2506</v>
      </c>
      <c r="AG35" s="281">
        <f t="shared" si="11"/>
        <v>82369</v>
      </c>
      <c r="AH35" s="281">
        <f t="shared" si="12"/>
        <v>104.99955383889761</v>
      </c>
    </row>
    <row r="36" spans="1:34" ht="14.25">
      <c r="A36" s="299">
        <v>26</v>
      </c>
      <c r="B36" s="764" t="s">
        <v>914</v>
      </c>
      <c r="C36" s="553">
        <v>59959</v>
      </c>
      <c r="D36" s="548">
        <v>0</v>
      </c>
      <c r="E36" s="388">
        <v>0</v>
      </c>
      <c r="F36" s="299">
        <v>132</v>
      </c>
      <c r="G36" s="388">
        <f t="shared" si="0"/>
        <v>60091</v>
      </c>
      <c r="H36" s="423">
        <v>233</v>
      </c>
      <c r="I36" s="524">
        <f t="shared" si="1"/>
        <v>2100.1804499999998</v>
      </c>
      <c r="J36" s="524">
        <f t="shared" si="2"/>
        <v>630.05413499999997</v>
      </c>
      <c r="K36" s="524">
        <f t="shared" si="3"/>
        <v>1470.126315</v>
      </c>
      <c r="L36" s="299">
        <v>0</v>
      </c>
      <c r="M36" s="525">
        <f t="shared" si="4"/>
        <v>294.025263</v>
      </c>
      <c r="N36" s="525">
        <f t="shared" si="5"/>
        <v>147.0126315</v>
      </c>
      <c r="O36" s="525">
        <f t="shared" si="6"/>
        <v>73.506315749999999</v>
      </c>
      <c r="P36" s="525">
        <f t="shared" si="7"/>
        <v>73.506315749999999</v>
      </c>
      <c r="Q36" s="300"/>
      <c r="R36" s="300"/>
      <c r="S36" s="299">
        <v>150</v>
      </c>
      <c r="T36" s="524">
        <v>35.913085694999999</v>
      </c>
      <c r="U36" s="661">
        <f t="shared" si="8"/>
        <v>2394.2057129999998</v>
      </c>
      <c r="V36" s="661">
        <f t="shared" si="9"/>
        <v>35.913085694999999</v>
      </c>
      <c r="X36" s="785">
        <v>57104</v>
      </c>
      <c r="Y36" s="785">
        <v>0</v>
      </c>
      <c r="Z36" s="785">
        <v>0</v>
      </c>
      <c r="AA36" s="785">
        <v>126</v>
      </c>
      <c r="AB36" s="281">
        <f t="shared" si="10"/>
        <v>57230</v>
      </c>
      <c r="AC36" s="763">
        <v>59959</v>
      </c>
      <c r="AD36" s="763">
        <v>0</v>
      </c>
      <c r="AE36" s="763">
        <v>0</v>
      </c>
      <c r="AF36" s="763">
        <v>132</v>
      </c>
      <c r="AG36" s="281">
        <f t="shared" si="11"/>
        <v>60091</v>
      </c>
      <c r="AH36" s="281">
        <f t="shared" si="12"/>
        <v>104.99912633234318</v>
      </c>
    </row>
    <row r="37" spans="1:34" ht="14.25">
      <c r="A37" s="299">
        <v>27</v>
      </c>
      <c r="B37" s="764" t="s">
        <v>915</v>
      </c>
      <c r="C37" s="553">
        <v>35994</v>
      </c>
      <c r="D37" s="548">
        <v>0</v>
      </c>
      <c r="E37" s="388">
        <v>0</v>
      </c>
      <c r="F37" s="299">
        <v>90</v>
      </c>
      <c r="G37" s="388">
        <f t="shared" si="0"/>
        <v>36084</v>
      </c>
      <c r="H37" s="423">
        <v>233</v>
      </c>
      <c r="I37" s="524">
        <f t="shared" si="1"/>
        <v>1261.1358</v>
      </c>
      <c r="J37" s="524">
        <f t="shared" si="2"/>
        <v>378.34073999999998</v>
      </c>
      <c r="K37" s="524">
        <f t="shared" si="3"/>
        <v>882.79506000000003</v>
      </c>
      <c r="L37" s="299">
        <v>0</v>
      </c>
      <c r="M37" s="525">
        <f t="shared" si="4"/>
        <v>176.559012</v>
      </c>
      <c r="N37" s="525">
        <f t="shared" si="5"/>
        <v>88.279505999999998</v>
      </c>
      <c r="O37" s="525">
        <f t="shared" si="6"/>
        <v>44.139752999999999</v>
      </c>
      <c r="P37" s="525">
        <f t="shared" si="7"/>
        <v>44.139752999999999</v>
      </c>
      <c r="Q37" s="300"/>
      <c r="R37" s="300"/>
      <c r="S37" s="299">
        <v>150</v>
      </c>
      <c r="T37" s="524">
        <v>21.565422179999999</v>
      </c>
      <c r="U37" s="661">
        <f t="shared" si="8"/>
        <v>1437.694812</v>
      </c>
      <c r="V37" s="661">
        <f t="shared" si="9"/>
        <v>21.565422179999999</v>
      </c>
      <c r="X37" s="785">
        <v>34280</v>
      </c>
      <c r="Y37" s="785">
        <v>0</v>
      </c>
      <c r="Z37" s="785">
        <v>0</v>
      </c>
      <c r="AA37" s="785">
        <v>86</v>
      </c>
      <c r="AB37" s="281">
        <f t="shared" si="10"/>
        <v>34366</v>
      </c>
      <c r="AC37" s="763">
        <v>35994</v>
      </c>
      <c r="AD37" s="763">
        <v>0</v>
      </c>
      <c r="AE37" s="763">
        <v>0</v>
      </c>
      <c r="AF37" s="763">
        <v>90</v>
      </c>
      <c r="AG37" s="281">
        <f t="shared" si="11"/>
        <v>36084</v>
      </c>
      <c r="AH37" s="281">
        <f t="shared" si="12"/>
        <v>104.99912704417156</v>
      </c>
    </row>
    <row r="38" spans="1:34" ht="14.25">
      <c r="A38" s="299">
        <v>28</v>
      </c>
      <c r="B38" s="764" t="s">
        <v>916</v>
      </c>
      <c r="C38" s="553">
        <v>43486</v>
      </c>
      <c r="D38" s="548">
        <v>0</v>
      </c>
      <c r="E38" s="388">
        <v>0</v>
      </c>
      <c r="F38" s="299">
        <v>26</v>
      </c>
      <c r="G38" s="388">
        <f t="shared" si="0"/>
        <v>43512</v>
      </c>
      <c r="H38" s="423">
        <v>233</v>
      </c>
      <c r="I38" s="524">
        <f t="shared" si="1"/>
        <v>1520.7444</v>
      </c>
      <c r="J38" s="524">
        <f t="shared" si="2"/>
        <v>456.22332</v>
      </c>
      <c r="K38" s="524">
        <f t="shared" si="3"/>
        <v>1064.52108</v>
      </c>
      <c r="L38" s="299">
        <v>0</v>
      </c>
      <c r="M38" s="525">
        <f t="shared" si="4"/>
        <v>212.90421599999999</v>
      </c>
      <c r="N38" s="525">
        <f t="shared" si="5"/>
        <v>106.452108</v>
      </c>
      <c r="O38" s="525">
        <f t="shared" si="6"/>
        <v>53.226053999999998</v>
      </c>
      <c r="P38" s="525">
        <f t="shared" si="7"/>
        <v>53.226053999999998</v>
      </c>
      <c r="Q38" s="300"/>
      <c r="R38" s="300"/>
      <c r="S38" s="299">
        <v>150</v>
      </c>
      <c r="T38" s="524">
        <v>26.00472924</v>
      </c>
      <c r="U38" s="661">
        <f t="shared" si="8"/>
        <v>1733.6486159999999</v>
      </c>
      <c r="V38" s="661">
        <f t="shared" si="9"/>
        <v>26.00472924</v>
      </c>
      <c r="X38" s="785">
        <v>41415</v>
      </c>
      <c r="Y38" s="785">
        <v>0</v>
      </c>
      <c r="Z38" s="785">
        <v>0</v>
      </c>
      <c r="AA38" s="785">
        <v>25</v>
      </c>
      <c r="AB38" s="281">
        <f t="shared" si="10"/>
        <v>41440</v>
      </c>
      <c r="AC38" s="763">
        <v>43486</v>
      </c>
      <c r="AD38" s="763">
        <v>0</v>
      </c>
      <c r="AE38" s="763">
        <v>0</v>
      </c>
      <c r="AF38" s="763">
        <v>26</v>
      </c>
      <c r="AG38" s="281">
        <f t="shared" si="11"/>
        <v>43512</v>
      </c>
      <c r="AH38" s="281">
        <f t="shared" si="12"/>
        <v>105</v>
      </c>
    </row>
    <row r="39" spans="1:34" ht="14.25">
      <c r="A39" s="299">
        <v>29</v>
      </c>
      <c r="B39" s="764" t="s">
        <v>917</v>
      </c>
      <c r="C39" s="553">
        <v>29298</v>
      </c>
      <c r="D39" s="548">
        <v>0</v>
      </c>
      <c r="E39" s="388">
        <v>0</v>
      </c>
      <c r="F39" s="299">
        <v>723</v>
      </c>
      <c r="G39" s="388">
        <f t="shared" si="0"/>
        <v>30021</v>
      </c>
      <c r="H39" s="423">
        <v>233</v>
      </c>
      <c r="I39" s="524">
        <f t="shared" si="1"/>
        <v>1049.23395</v>
      </c>
      <c r="J39" s="524">
        <f t="shared" si="2"/>
        <v>314.77018500000003</v>
      </c>
      <c r="K39" s="524">
        <f t="shared" si="3"/>
        <v>734.46376499999997</v>
      </c>
      <c r="L39" s="299">
        <v>0</v>
      </c>
      <c r="M39" s="525">
        <f t="shared" si="4"/>
        <v>146.892753</v>
      </c>
      <c r="N39" s="525">
        <f t="shared" si="5"/>
        <v>73.4463765</v>
      </c>
      <c r="O39" s="525">
        <f t="shared" si="6"/>
        <v>36.72318825</v>
      </c>
      <c r="P39" s="525">
        <f t="shared" si="7"/>
        <v>36.72318825</v>
      </c>
      <c r="Q39" s="300"/>
      <c r="R39" s="300"/>
      <c r="S39" s="299">
        <v>150</v>
      </c>
      <c r="T39" s="524">
        <v>17.941900544999999</v>
      </c>
      <c r="U39" s="661">
        <f t="shared" si="8"/>
        <v>1196.1267030000001</v>
      </c>
      <c r="V39" s="661">
        <f t="shared" si="9"/>
        <v>17.941900544999999</v>
      </c>
      <c r="X39" s="785">
        <v>27903</v>
      </c>
      <c r="Y39" s="785">
        <v>0</v>
      </c>
      <c r="Z39" s="785">
        <v>0</v>
      </c>
      <c r="AA39" s="785">
        <v>689</v>
      </c>
      <c r="AB39" s="281">
        <f t="shared" si="10"/>
        <v>28592</v>
      </c>
      <c r="AC39" s="763">
        <v>29298</v>
      </c>
      <c r="AD39" s="763">
        <v>0</v>
      </c>
      <c r="AE39" s="763">
        <v>0</v>
      </c>
      <c r="AF39" s="763">
        <v>723</v>
      </c>
      <c r="AG39" s="281">
        <f t="shared" si="11"/>
        <v>30021</v>
      </c>
      <c r="AH39" s="281">
        <f t="shared" si="12"/>
        <v>104.99790151091216</v>
      </c>
    </row>
    <row r="40" spans="1:34" ht="14.25">
      <c r="A40" s="299">
        <v>30</v>
      </c>
      <c r="B40" s="764" t="s">
        <v>918</v>
      </c>
      <c r="C40" s="553">
        <v>48239</v>
      </c>
      <c r="D40" s="548">
        <v>0</v>
      </c>
      <c r="E40" s="388">
        <v>0</v>
      </c>
      <c r="F40" s="299">
        <v>483</v>
      </c>
      <c r="G40" s="388">
        <f t="shared" si="0"/>
        <v>48722</v>
      </c>
      <c r="H40" s="423">
        <v>233</v>
      </c>
      <c r="I40" s="524">
        <f t="shared" si="1"/>
        <v>1702.8339000000001</v>
      </c>
      <c r="J40" s="524">
        <f t="shared" si="2"/>
        <v>510.85016999999999</v>
      </c>
      <c r="K40" s="524">
        <f t="shared" si="3"/>
        <v>1191.9837300000002</v>
      </c>
      <c r="L40" s="299">
        <v>0</v>
      </c>
      <c r="M40" s="525">
        <f t="shared" si="4"/>
        <v>238.39674600000001</v>
      </c>
      <c r="N40" s="525">
        <f t="shared" si="5"/>
        <v>119.198373</v>
      </c>
      <c r="O40" s="525">
        <f t="shared" si="6"/>
        <v>59.599186500000002</v>
      </c>
      <c r="P40" s="525">
        <f t="shared" si="7"/>
        <v>59.599186500000002</v>
      </c>
      <c r="Q40" s="300"/>
      <c r="R40" s="300"/>
      <c r="S40" s="299">
        <v>150</v>
      </c>
      <c r="T40" s="524">
        <v>29.118459690000002</v>
      </c>
      <c r="U40" s="661">
        <f t="shared" si="8"/>
        <v>1941.230646</v>
      </c>
      <c r="V40" s="661">
        <f t="shared" si="9"/>
        <v>29.118459690000002</v>
      </c>
      <c r="X40" s="785">
        <v>45942</v>
      </c>
      <c r="Y40" s="785">
        <v>0</v>
      </c>
      <c r="Z40" s="785">
        <v>0</v>
      </c>
      <c r="AA40" s="785">
        <v>460</v>
      </c>
      <c r="AB40" s="281">
        <f t="shared" si="10"/>
        <v>46402</v>
      </c>
      <c r="AC40" s="763">
        <v>48239</v>
      </c>
      <c r="AD40" s="763">
        <v>0</v>
      </c>
      <c r="AE40" s="763">
        <v>0</v>
      </c>
      <c r="AF40" s="763">
        <v>483</v>
      </c>
      <c r="AG40" s="281">
        <f t="shared" si="11"/>
        <v>48722</v>
      </c>
      <c r="AH40" s="281">
        <f t="shared" si="12"/>
        <v>104.99978449204777</v>
      </c>
    </row>
    <row r="41" spans="1:34" ht="14.25">
      <c r="A41" s="299">
        <v>31</v>
      </c>
      <c r="B41" s="764" t="s">
        <v>919</v>
      </c>
      <c r="C41" s="553">
        <v>26521</v>
      </c>
      <c r="D41" s="548">
        <v>0</v>
      </c>
      <c r="E41" s="388">
        <v>0</v>
      </c>
      <c r="F41" s="299">
        <v>9</v>
      </c>
      <c r="G41" s="388">
        <f t="shared" si="0"/>
        <v>26530</v>
      </c>
      <c r="H41" s="423">
        <v>233</v>
      </c>
      <c r="I41" s="524">
        <f t="shared" si="1"/>
        <v>927.22349999999994</v>
      </c>
      <c r="J41" s="524">
        <f t="shared" si="2"/>
        <v>278.16704999999996</v>
      </c>
      <c r="K41" s="524">
        <f t="shared" si="3"/>
        <v>649.05645000000004</v>
      </c>
      <c r="L41" s="299">
        <v>0</v>
      </c>
      <c r="M41" s="525">
        <f t="shared" si="4"/>
        <v>129.81129000000001</v>
      </c>
      <c r="N41" s="525">
        <f t="shared" si="5"/>
        <v>64.905645000000007</v>
      </c>
      <c r="O41" s="525">
        <f t="shared" si="6"/>
        <v>32.452822500000003</v>
      </c>
      <c r="P41" s="525">
        <f t="shared" si="7"/>
        <v>32.452822500000003</v>
      </c>
      <c r="Q41" s="300"/>
      <c r="R41" s="300"/>
      <c r="S41" s="299">
        <v>150</v>
      </c>
      <c r="T41" s="524">
        <v>15.855521849999999</v>
      </c>
      <c r="U41" s="661">
        <f t="shared" si="8"/>
        <v>1057.0347899999999</v>
      </c>
      <c r="V41" s="661">
        <f t="shared" si="9"/>
        <v>15.855521849999999</v>
      </c>
      <c r="X41" s="785">
        <v>25258</v>
      </c>
      <c r="Y41" s="785">
        <v>0</v>
      </c>
      <c r="Z41" s="785">
        <v>0</v>
      </c>
      <c r="AA41" s="785">
        <v>9</v>
      </c>
      <c r="AB41" s="281">
        <f t="shared" si="10"/>
        <v>25267</v>
      </c>
      <c r="AC41" s="763">
        <v>26521</v>
      </c>
      <c r="AD41" s="763">
        <v>0</v>
      </c>
      <c r="AE41" s="763">
        <v>0</v>
      </c>
      <c r="AF41" s="763">
        <v>9</v>
      </c>
      <c r="AG41" s="281">
        <f t="shared" si="11"/>
        <v>26530</v>
      </c>
      <c r="AH41" s="281">
        <f t="shared" si="12"/>
        <v>104.99861479400008</v>
      </c>
    </row>
    <row r="42" spans="1:34" ht="14.25">
      <c r="A42" s="299">
        <v>32</v>
      </c>
      <c r="B42" s="764" t="s">
        <v>920</v>
      </c>
      <c r="C42" s="553">
        <v>32159</v>
      </c>
      <c r="D42" s="548">
        <v>0</v>
      </c>
      <c r="E42" s="388">
        <v>0</v>
      </c>
      <c r="F42" s="299">
        <v>442</v>
      </c>
      <c r="G42" s="388">
        <f t="shared" si="0"/>
        <v>32601</v>
      </c>
      <c r="H42" s="423">
        <v>233</v>
      </c>
      <c r="I42" s="524">
        <f t="shared" si="1"/>
        <v>1139.4049500000001</v>
      </c>
      <c r="J42" s="524">
        <f t="shared" si="2"/>
        <v>341.821485</v>
      </c>
      <c r="K42" s="524">
        <f t="shared" si="3"/>
        <v>797.58346500000016</v>
      </c>
      <c r="L42" s="299">
        <v>0</v>
      </c>
      <c r="M42" s="525">
        <f t="shared" si="4"/>
        <v>159.516693</v>
      </c>
      <c r="N42" s="525">
        <f t="shared" si="5"/>
        <v>79.758346500000002</v>
      </c>
      <c r="O42" s="525">
        <f t="shared" si="6"/>
        <v>39.879173250000001</v>
      </c>
      <c r="P42" s="525">
        <f t="shared" si="7"/>
        <v>39.879173250000001</v>
      </c>
      <c r="Q42" s="300"/>
      <c r="R42" s="300"/>
      <c r="S42" s="299">
        <v>150</v>
      </c>
      <c r="T42" s="524">
        <v>19.483824645000002</v>
      </c>
      <c r="U42" s="661">
        <f t="shared" si="8"/>
        <v>1298.9216430000001</v>
      </c>
      <c r="V42" s="661">
        <f t="shared" si="9"/>
        <v>19.483824645000002</v>
      </c>
      <c r="X42" s="785">
        <v>30628</v>
      </c>
      <c r="Y42" s="785">
        <v>0</v>
      </c>
      <c r="Z42" s="785">
        <v>0</v>
      </c>
      <c r="AA42" s="785">
        <v>421</v>
      </c>
      <c r="AB42" s="281">
        <f t="shared" si="10"/>
        <v>31049</v>
      </c>
      <c r="AC42" s="763">
        <v>32159</v>
      </c>
      <c r="AD42" s="763">
        <v>0</v>
      </c>
      <c r="AE42" s="763">
        <v>0</v>
      </c>
      <c r="AF42" s="763">
        <v>442</v>
      </c>
      <c r="AG42" s="281">
        <f t="shared" si="11"/>
        <v>32601</v>
      </c>
      <c r="AH42" s="281">
        <f t="shared" si="12"/>
        <v>104.99855067796065</v>
      </c>
    </row>
    <row r="43" spans="1:34" ht="14.25">
      <c r="A43" s="299">
        <v>33</v>
      </c>
      <c r="B43" s="764" t="s">
        <v>921</v>
      </c>
      <c r="C43" s="553">
        <v>81981</v>
      </c>
      <c r="D43" s="548">
        <v>0</v>
      </c>
      <c r="E43" s="388">
        <v>402</v>
      </c>
      <c r="F43" s="299">
        <v>88</v>
      </c>
      <c r="G43" s="388">
        <f t="shared" si="0"/>
        <v>82471</v>
      </c>
      <c r="H43" s="423">
        <v>233</v>
      </c>
      <c r="I43" s="524">
        <f t="shared" si="1"/>
        <v>2882.3614499999999</v>
      </c>
      <c r="J43" s="524">
        <f t="shared" si="2"/>
        <v>864.70843499999989</v>
      </c>
      <c r="K43" s="524">
        <f t="shared" si="3"/>
        <v>2017.6530149999999</v>
      </c>
      <c r="L43" s="299">
        <v>0</v>
      </c>
      <c r="M43" s="525">
        <f t="shared" si="4"/>
        <v>403.53060299999999</v>
      </c>
      <c r="N43" s="525">
        <f t="shared" si="5"/>
        <v>201.76530149999999</v>
      </c>
      <c r="O43" s="525">
        <f t="shared" si="6"/>
        <v>100.88265075</v>
      </c>
      <c r="P43" s="525">
        <f t="shared" si="7"/>
        <v>100.88265075</v>
      </c>
      <c r="Q43" s="300"/>
      <c r="R43" s="300"/>
      <c r="S43" s="299">
        <v>150</v>
      </c>
      <c r="T43" s="524">
        <v>49.288380795000002</v>
      </c>
      <c r="U43" s="661">
        <f t="shared" si="8"/>
        <v>3285.892053</v>
      </c>
      <c r="V43" s="661">
        <f t="shared" si="9"/>
        <v>49.288380795000002</v>
      </c>
      <c r="X43" s="785">
        <v>78077</v>
      </c>
      <c r="Y43" s="785">
        <v>0</v>
      </c>
      <c r="Z43" s="785">
        <v>383</v>
      </c>
      <c r="AA43" s="785">
        <v>84</v>
      </c>
      <c r="AB43" s="281">
        <f t="shared" si="10"/>
        <v>78544</v>
      </c>
      <c r="AC43" s="763">
        <v>81981</v>
      </c>
      <c r="AD43" s="763">
        <v>0</v>
      </c>
      <c r="AE43" s="763">
        <v>402</v>
      </c>
      <c r="AF43" s="763">
        <v>88</v>
      </c>
      <c r="AG43" s="281">
        <f t="shared" si="11"/>
        <v>82471</v>
      </c>
      <c r="AH43" s="281">
        <f t="shared" si="12"/>
        <v>104.99974536565493</v>
      </c>
    </row>
    <row r="44" spans="1:34">
      <c r="A44" s="367" t="s">
        <v>19</v>
      </c>
      <c r="B44" s="300"/>
      <c r="C44" s="552">
        <f>SUM(C11:C43)</f>
        <v>1688030</v>
      </c>
      <c r="D44" s="388">
        <f t="shared" ref="D44:F44" si="13">SUM(D11:D43)</f>
        <v>0</v>
      </c>
      <c r="E44" s="388">
        <f t="shared" si="13"/>
        <v>1026</v>
      </c>
      <c r="F44" s="388">
        <f t="shared" si="13"/>
        <v>11963</v>
      </c>
      <c r="G44" s="388">
        <f t="shared" si="0"/>
        <v>1701019</v>
      </c>
      <c r="H44" s="334"/>
      <c r="I44" s="525">
        <f>SUM(I11:I43)</f>
        <v>59450.614050000004</v>
      </c>
      <c r="J44" s="525">
        <f t="shared" si="2"/>
        <v>17835.184215000001</v>
      </c>
      <c r="K44" s="525">
        <f t="shared" si="3"/>
        <v>41615.429835000003</v>
      </c>
      <c r="L44" s="300"/>
      <c r="M44" s="525">
        <f>SUM(M11:M43)</f>
        <v>8323.0859669999991</v>
      </c>
      <c r="N44" s="525">
        <f t="shared" ref="N44:P44" si="14">SUM(N11:N43)</f>
        <v>4161.5429834999995</v>
      </c>
      <c r="O44" s="525">
        <f t="shared" si="14"/>
        <v>2080.7714917499998</v>
      </c>
      <c r="P44" s="525">
        <f t="shared" si="14"/>
        <v>2080.7714917499998</v>
      </c>
      <c r="Q44" s="300"/>
      <c r="R44" s="300"/>
      <c r="S44" s="300"/>
      <c r="T44" s="524">
        <f>SUM(T11:T43)</f>
        <v>1016.6055002549998</v>
      </c>
      <c r="U44" s="661">
        <f t="shared" si="8"/>
        <v>67773.700016999996</v>
      </c>
      <c r="V44" s="661">
        <f t="shared" si="9"/>
        <v>1016.605500255</v>
      </c>
      <c r="X44" s="785">
        <f>SUM(X11:X43)</f>
        <v>1607648</v>
      </c>
      <c r="Y44" s="785">
        <f t="shared" ref="Y44:AA44" si="15">SUM(Y11:Y43)</f>
        <v>0</v>
      </c>
      <c r="Z44" s="785">
        <f t="shared" si="15"/>
        <v>977</v>
      </c>
      <c r="AA44" s="785">
        <f t="shared" si="15"/>
        <v>11394</v>
      </c>
      <c r="AB44" s="281">
        <f t="shared" si="10"/>
        <v>1620019</v>
      </c>
      <c r="AG44" s="281">
        <f>SUM(AG11:AG43)</f>
        <v>1701019</v>
      </c>
      <c r="AH44" s="281">
        <f t="shared" si="12"/>
        <v>104.99994135871246</v>
      </c>
    </row>
    <row r="45" spans="1:34">
      <c r="A45" s="302"/>
      <c r="B45" s="302"/>
      <c r="C45" s="302"/>
      <c r="D45" s="302"/>
      <c r="E45" s="302"/>
      <c r="F45" s="302"/>
      <c r="G45" s="302"/>
      <c r="H45" s="302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</row>
    <row r="46" spans="1:34">
      <c r="A46" s="303" t="s">
        <v>8</v>
      </c>
      <c r="B46" s="304"/>
      <c r="C46" s="304"/>
      <c r="D46" s="302"/>
      <c r="E46" s="302"/>
      <c r="F46" s="302"/>
      <c r="G46" s="302"/>
      <c r="H46" s="302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670">
        <f>I44+M44</f>
        <v>67773.700016999996</v>
      </c>
      <c r="V46" s="295"/>
      <c r="Z46" s="281">
        <f>X44+Y44+Z44+AA44</f>
        <v>1620019</v>
      </c>
    </row>
    <row r="47" spans="1:34">
      <c r="A47" s="305" t="s">
        <v>9</v>
      </c>
      <c r="B47" s="305"/>
      <c r="C47" s="305"/>
      <c r="I47" s="295"/>
      <c r="J47" s="670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</row>
    <row r="48" spans="1:34">
      <c r="A48" s="305" t="s">
        <v>10</v>
      </c>
      <c r="B48" s="305"/>
      <c r="C48" s="305"/>
      <c r="F48" s="566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</row>
    <row r="49" spans="1:22">
      <c r="A49" s="305"/>
      <c r="B49" s="305"/>
      <c r="C49" s="305"/>
      <c r="F49" s="566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</row>
    <row r="50" spans="1:22">
      <c r="A50" s="305"/>
      <c r="B50" s="305"/>
      <c r="C50" s="30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</row>
    <row r="51" spans="1:22">
      <c r="A51" s="305" t="s">
        <v>12</v>
      </c>
      <c r="H51" s="305"/>
      <c r="I51" s="295"/>
      <c r="J51" s="305"/>
      <c r="K51" s="305"/>
      <c r="L51" s="305"/>
      <c r="M51" s="305"/>
      <c r="N51" s="305"/>
      <c r="O51" s="305"/>
      <c r="P51" s="305"/>
      <c r="Q51" s="305" t="s">
        <v>13</v>
      </c>
      <c r="R51" s="305"/>
      <c r="S51" s="305"/>
      <c r="T51" s="305"/>
      <c r="U51" s="305"/>
      <c r="V51" s="305"/>
    </row>
    <row r="52" spans="1:22" ht="12.75" customHeight="1">
      <c r="I52" s="305"/>
      <c r="J52" s="1098" t="s">
        <v>14</v>
      </c>
      <c r="K52" s="1098"/>
      <c r="L52" s="1098"/>
      <c r="M52" s="1098"/>
      <c r="N52" s="1098"/>
      <c r="O52" s="1098"/>
      <c r="P52" s="1098"/>
      <c r="Q52" s="1098"/>
      <c r="R52" s="1098"/>
      <c r="S52" s="1098"/>
      <c r="T52" s="1098"/>
      <c r="U52" s="756"/>
      <c r="V52" s="756"/>
    </row>
    <row r="53" spans="1:22" ht="12.75" customHeight="1">
      <c r="I53" s="1098" t="s">
        <v>90</v>
      </c>
      <c r="J53" s="1098"/>
      <c r="K53" s="1098"/>
      <c r="L53" s="1098"/>
      <c r="M53" s="1098"/>
      <c r="N53" s="1098"/>
      <c r="O53" s="1098"/>
      <c r="P53" s="1098"/>
      <c r="Q53" s="1098"/>
      <c r="R53" s="1098"/>
      <c r="S53" s="1098"/>
      <c r="T53" s="1098"/>
      <c r="U53" s="756"/>
      <c r="V53" s="756"/>
    </row>
    <row r="54" spans="1:22">
      <c r="A54" s="305"/>
      <c r="B54" s="305"/>
      <c r="I54" s="295"/>
      <c r="J54" s="305"/>
      <c r="K54" s="305"/>
      <c r="L54" s="305"/>
      <c r="M54" s="305"/>
      <c r="N54" s="305"/>
      <c r="O54" s="305"/>
      <c r="P54" s="305"/>
      <c r="Q54" s="305" t="s">
        <v>856</v>
      </c>
      <c r="R54" s="305"/>
      <c r="S54" s="305"/>
      <c r="T54" s="305"/>
      <c r="U54" s="305"/>
      <c r="V54" s="305"/>
    </row>
    <row r="56" spans="1:22">
      <c r="A56" s="1095"/>
      <c r="B56" s="1095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754"/>
      <c r="V56" s="754"/>
    </row>
    <row r="58" spans="1:22">
      <c r="K58" s="281">
        <f>J44*3000/100000</f>
        <v>535.05552645</v>
      </c>
      <c r="L58" s="281">
        <f>K44*2000/100000</f>
        <v>832.30859670000007</v>
      </c>
      <c r="M58" s="281">
        <f>K58+L58</f>
        <v>1367.3641231500001</v>
      </c>
    </row>
    <row r="59" spans="1:22">
      <c r="G59" s="295">
        <f>G44*233*6.51/100000</f>
        <v>25801.566497700001</v>
      </c>
    </row>
  </sheetData>
  <mergeCells count="18">
    <mergeCell ref="J52:T52"/>
    <mergeCell ref="I53:T53"/>
    <mergeCell ref="A56:T56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A7:B7"/>
    <mergeCell ref="L7:T7"/>
  </mergeCells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8"/>
  <sheetViews>
    <sheetView view="pageBreakPreview" zoomScaleNormal="70" zoomScaleSheetLayoutView="100" workbookViewId="0">
      <selection activeCell="T20" sqref="T20"/>
    </sheetView>
  </sheetViews>
  <sheetFormatPr defaultRowHeight="12.75"/>
  <cols>
    <col min="1" max="1" width="5.5703125" style="295" customWidth="1"/>
    <col min="2" max="2" width="13" style="295" customWidth="1"/>
    <col min="3" max="3" width="10.28515625" style="295" customWidth="1"/>
    <col min="4" max="4" width="12.85546875" style="295" customWidth="1"/>
    <col min="5" max="5" width="8.7109375" style="281" customWidth="1"/>
    <col min="6" max="7" width="8" style="281" customWidth="1"/>
    <col min="8" max="10" width="8.140625" style="281" customWidth="1"/>
    <col min="11" max="11" width="8.42578125" style="281" customWidth="1"/>
    <col min="12" max="12" width="8.140625" style="281" customWidth="1"/>
    <col min="13" max="13" width="8.85546875" style="281" customWidth="1"/>
    <col min="14" max="14" width="8.140625" style="281" customWidth="1"/>
    <col min="15" max="15" width="9.140625" style="295"/>
    <col min="16" max="16" width="12.42578125" style="295" customWidth="1"/>
    <col min="17" max="16384" width="9.140625" style="281"/>
  </cols>
  <sheetData>
    <row r="1" spans="1:18" ht="12.75" customHeight="1">
      <c r="D1" s="977"/>
      <c r="E1" s="977"/>
      <c r="F1" s="295"/>
      <c r="G1" s="295"/>
      <c r="H1" s="295"/>
      <c r="I1" s="295"/>
      <c r="J1" s="295"/>
      <c r="K1" s="295"/>
      <c r="L1" s="295"/>
      <c r="M1" s="1104" t="s">
        <v>540</v>
      </c>
      <c r="N1" s="1104"/>
    </row>
    <row r="2" spans="1:18" ht="15.7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</row>
    <row r="3" spans="1:18" ht="18">
      <c r="A3" s="1102" t="s">
        <v>705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</row>
    <row r="4" spans="1:18" ht="12.75" customHeight="1">
      <c r="A4" s="1100" t="s">
        <v>715</v>
      </c>
      <c r="B4" s="1100"/>
      <c r="C4" s="1100"/>
      <c r="D4" s="1100"/>
      <c r="E4" s="1100"/>
      <c r="F4" s="1100"/>
      <c r="G4" s="1100"/>
      <c r="H4" s="1100"/>
      <c r="I4" s="1100"/>
      <c r="J4" s="1100"/>
      <c r="K4" s="1100"/>
      <c r="L4" s="1100"/>
      <c r="M4" s="1100"/>
      <c r="N4" s="1100"/>
    </row>
    <row r="5" spans="1:18" s="282" customFormat="1" ht="7.5" customHeight="1">
      <c r="A5" s="1100"/>
      <c r="B5" s="1100"/>
      <c r="C5" s="1100"/>
      <c r="D5" s="1100"/>
      <c r="E5" s="1100"/>
      <c r="F5" s="1100"/>
      <c r="G5" s="1100"/>
      <c r="H5" s="1100"/>
      <c r="I5" s="1100"/>
      <c r="J5" s="1100"/>
      <c r="K5" s="1100"/>
      <c r="L5" s="1100"/>
      <c r="M5" s="1100"/>
      <c r="N5" s="1100"/>
      <c r="O5" s="361"/>
      <c r="P5" s="361"/>
    </row>
    <row r="6" spans="1:18">
      <c r="A6" s="1103"/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</row>
    <row r="7" spans="1:18">
      <c r="A7" s="972" t="s">
        <v>923</v>
      </c>
      <c r="B7" s="972"/>
      <c r="D7" s="331"/>
      <c r="E7" s="295"/>
      <c r="F7" s="295"/>
      <c r="G7" s="295"/>
      <c r="H7" s="1096"/>
      <c r="I7" s="1096"/>
      <c r="J7" s="1096"/>
      <c r="K7" s="1096"/>
      <c r="L7" s="1096"/>
      <c r="M7" s="1096"/>
      <c r="N7" s="1096"/>
    </row>
    <row r="8" spans="1:18" ht="39" customHeight="1">
      <c r="A8" s="976" t="s">
        <v>2</v>
      </c>
      <c r="B8" s="976" t="s">
        <v>3</v>
      </c>
      <c r="C8" s="974" t="s">
        <v>491</v>
      </c>
      <c r="D8" s="966" t="s">
        <v>88</v>
      </c>
      <c r="E8" s="969" t="s">
        <v>89</v>
      </c>
      <c r="F8" s="970"/>
      <c r="G8" s="970"/>
      <c r="H8" s="971"/>
      <c r="I8" s="976" t="s">
        <v>656</v>
      </c>
      <c r="J8" s="976"/>
      <c r="K8" s="976"/>
      <c r="L8" s="976"/>
      <c r="M8" s="976"/>
      <c r="N8" s="976"/>
      <c r="O8" s="1099" t="s">
        <v>855</v>
      </c>
      <c r="P8" s="1099"/>
    </row>
    <row r="9" spans="1:18" ht="44.45" customHeight="1">
      <c r="A9" s="976"/>
      <c r="B9" s="976"/>
      <c r="C9" s="975"/>
      <c r="D9" s="1097"/>
      <c r="E9" s="351" t="s">
        <v>94</v>
      </c>
      <c r="F9" s="351" t="s">
        <v>22</v>
      </c>
      <c r="G9" s="351" t="s">
        <v>45</v>
      </c>
      <c r="H9" s="351" t="s">
        <v>692</v>
      </c>
      <c r="I9" s="359" t="s">
        <v>19</v>
      </c>
      <c r="J9" s="359" t="s">
        <v>657</v>
      </c>
      <c r="K9" s="359" t="s">
        <v>658</v>
      </c>
      <c r="L9" s="359" t="s">
        <v>659</v>
      </c>
      <c r="M9" s="359" t="s">
        <v>660</v>
      </c>
      <c r="N9" s="359" t="s">
        <v>661</v>
      </c>
      <c r="O9" s="372" t="s">
        <v>869</v>
      </c>
      <c r="P9" s="372" t="s">
        <v>867</v>
      </c>
    </row>
    <row r="10" spans="1:18" s="368" customFormat="1">
      <c r="A10" s="366">
        <v>1</v>
      </c>
      <c r="B10" s="366">
        <v>2</v>
      </c>
      <c r="C10" s="366">
        <v>3</v>
      </c>
      <c r="D10" s="366">
        <v>4</v>
      </c>
      <c r="E10" s="366">
        <v>5</v>
      </c>
      <c r="F10" s="366">
        <v>6</v>
      </c>
      <c r="G10" s="366">
        <v>7</v>
      </c>
      <c r="H10" s="366">
        <v>8</v>
      </c>
      <c r="I10" s="366">
        <v>9</v>
      </c>
      <c r="J10" s="366">
        <v>10</v>
      </c>
      <c r="K10" s="366">
        <v>11</v>
      </c>
      <c r="L10" s="366">
        <v>12</v>
      </c>
      <c r="M10" s="366">
        <v>13</v>
      </c>
      <c r="N10" s="366">
        <v>14</v>
      </c>
      <c r="O10" s="366">
        <v>15</v>
      </c>
      <c r="P10" s="366">
        <v>16</v>
      </c>
    </row>
    <row r="11" spans="1:18" ht="14.25">
      <c r="A11" s="299">
        <v>1</v>
      </c>
      <c r="B11" s="385" t="s">
        <v>889</v>
      </c>
      <c r="C11" s="442">
        <v>0</v>
      </c>
      <c r="D11" s="443">
        <v>0</v>
      </c>
      <c r="E11" s="442">
        <v>0</v>
      </c>
      <c r="F11" s="442">
        <v>0</v>
      </c>
      <c r="G11" s="442">
        <v>0</v>
      </c>
      <c r="H11" s="442"/>
      <c r="I11" s="442">
        <v>0</v>
      </c>
      <c r="J11" s="442">
        <v>0</v>
      </c>
      <c r="K11" s="442">
        <v>0</v>
      </c>
      <c r="L11" s="442">
        <v>0</v>
      </c>
      <c r="M11" s="442"/>
      <c r="N11" s="442"/>
      <c r="O11" s="300"/>
      <c r="P11" s="300"/>
    </row>
    <row r="12" spans="1:18" ht="14.25">
      <c r="A12" s="299">
        <v>2</v>
      </c>
      <c r="B12" s="385" t="s">
        <v>890</v>
      </c>
      <c r="C12" s="442">
        <v>521</v>
      </c>
      <c r="D12" s="443">
        <v>104</v>
      </c>
      <c r="E12" s="739">
        <f>C12*D12*150/1000000</f>
        <v>8.1275999999999993</v>
      </c>
      <c r="F12" s="739">
        <f>E12*30/100</f>
        <v>2.4382799999999998</v>
      </c>
      <c r="G12" s="739">
        <f>E12-F12</f>
        <v>5.6893199999999995</v>
      </c>
      <c r="H12" s="442"/>
      <c r="I12" s="739">
        <f>C12*D12*30/1000000</f>
        <v>1.6255200000000001</v>
      </c>
      <c r="J12" s="739">
        <f>I12*0.5</f>
        <v>0.81276000000000004</v>
      </c>
      <c r="K12" s="739">
        <f>I12*0.25</f>
        <v>0.40638000000000002</v>
      </c>
      <c r="L12" s="739">
        <f>I12*0.25</f>
        <v>0.40638000000000002</v>
      </c>
      <c r="M12" s="442"/>
      <c r="N12" s="442"/>
      <c r="O12" s="300">
        <v>150</v>
      </c>
      <c r="P12" s="525">
        <v>0.14629679999999998</v>
      </c>
      <c r="Q12" s="469">
        <f>E12+I12</f>
        <v>9.7531199999999991</v>
      </c>
      <c r="R12" s="469">
        <f>Q12*1500/100000</f>
        <v>0.14629679999999998</v>
      </c>
    </row>
    <row r="13" spans="1:18" ht="14.25">
      <c r="A13" s="299">
        <v>3</v>
      </c>
      <c r="B13" s="385" t="s">
        <v>891</v>
      </c>
      <c r="C13" s="442">
        <v>525</v>
      </c>
      <c r="D13" s="443">
        <v>313</v>
      </c>
      <c r="E13" s="739">
        <f t="shared" ref="E13:E14" si="0">C13*D13*150/1000000</f>
        <v>24.64875</v>
      </c>
      <c r="F13" s="739">
        <f t="shared" ref="F13:F14" si="1">E13*30/100</f>
        <v>7.3946249999999996</v>
      </c>
      <c r="G13" s="739">
        <f t="shared" ref="G13:G14" si="2">E13-F13</f>
        <v>17.254125000000002</v>
      </c>
      <c r="H13" s="442"/>
      <c r="I13" s="739">
        <f t="shared" ref="I13:I44" si="3">C13*D13*30/1000000</f>
        <v>4.9297500000000003</v>
      </c>
      <c r="J13" s="739">
        <f t="shared" ref="J13:J14" si="4">I13*0.5</f>
        <v>2.4648750000000001</v>
      </c>
      <c r="K13" s="739">
        <f t="shared" ref="K13:K14" si="5">I13*0.25</f>
        <v>1.2324375000000001</v>
      </c>
      <c r="L13" s="739">
        <f t="shared" ref="L13:L14" si="6">I13*0.25</f>
        <v>1.2324375000000001</v>
      </c>
      <c r="M13" s="442"/>
      <c r="N13" s="442"/>
      <c r="O13" s="300">
        <v>150</v>
      </c>
      <c r="P13" s="525">
        <v>0.4436775</v>
      </c>
      <c r="Q13" s="469">
        <f t="shared" ref="Q13:Q14" si="7">E13+I13</f>
        <v>29.578499999999998</v>
      </c>
      <c r="R13" s="469">
        <f t="shared" ref="R13:R14" si="8">Q13*1500/100000</f>
        <v>0.4436775</v>
      </c>
    </row>
    <row r="14" spans="1:18" ht="14.25">
      <c r="A14" s="299">
        <v>4</v>
      </c>
      <c r="B14" s="385" t="s">
        <v>892</v>
      </c>
      <c r="C14" s="442">
        <v>1289</v>
      </c>
      <c r="D14" s="443">
        <v>236</v>
      </c>
      <c r="E14" s="739">
        <f t="shared" si="0"/>
        <v>45.630600000000001</v>
      </c>
      <c r="F14" s="739">
        <f t="shared" si="1"/>
        <v>13.68918</v>
      </c>
      <c r="G14" s="739">
        <f t="shared" si="2"/>
        <v>31.941420000000001</v>
      </c>
      <c r="H14" s="442"/>
      <c r="I14" s="739">
        <f t="shared" si="3"/>
        <v>9.1261200000000002</v>
      </c>
      <c r="J14" s="739">
        <f t="shared" si="4"/>
        <v>4.5630600000000001</v>
      </c>
      <c r="K14" s="739">
        <f t="shared" si="5"/>
        <v>2.2815300000000001</v>
      </c>
      <c r="L14" s="739">
        <f t="shared" si="6"/>
        <v>2.2815300000000001</v>
      </c>
      <c r="M14" s="442"/>
      <c r="N14" s="442"/>
      <c r="O14" s="300">
        <v>150</v>
      </c>
      <c r="P14" s="525">
        <v>0.82135080000000005</v>
      </c>
      <c r="Q14" s="469">
        <f t="shared" si="7"/>
        <v>54.756720000000001</v>
      </c>
      <c r="R14" s="469">
        <f t="shared" si="8"/>
        <v>0.82135080000000005</v>
      </c>
    </row>
    <row r="15" spans="1:18" ht="14.25">
      <c r="A15" s="299">
        <v>5</v>
      </c>
      <c r="B15" s="385" t="s">
        <v>893</v>
      </c>
      <c r="C15" s="442">
        <v>0</v>
      </c>
      <c r="D15" s="443">
        <v>0</v>
      </c>
      <c r="E15" s="442">
        <v>0</v>
      </c>
      <c r="F15" s="442">
        <v>0</v>
      </c>
      <c r="G15" s="442">
        <v>0</v>
      </c>
      <c r="H15" s="442"/>
      <c r="I15" s="739">
        <f t="shared" si="3"/>
        <v>0</v>
      </c>
      <c r="J15" s="442">
        <v>0</v>
      </c>
      <c r="K15" s="442">
        <v>0</v>
      </c>
      <c r="L15" s="442">
        <v>0</v>
      </c>
      <c r="M15" s="442"/>
      <c r="N15" s="442"/>
      <c r="O15" s="300"/>
      <c r="P15" s="300"/>
      <c r="Q15" s="469"/>
    </row>
    <row r="16" spans="1:18" ht="14.25">
      <c r="A16" s="299">
        <v>6</v>
      </c>
      <c r="B16" s="385" t="s">
        <v>894</v>
      </c>
      <c r="C16" s="738">
        <v>0</v>
      </c>
      <c r="D16" s="737">
        <v>0</v>
      </c>
      <c r="E16" s="738">
        <v>0</v>
      </c>
      <c r="F16" s="738">
        <v>0</v>
      </c>
      <c r="G16" s="738">
        <v>0</v>
      </c>
      <c r="H16" s="442"/>
      <c r="I16" s="739">
        <f t="shared" si="3"/>
        <v>0</v>
      </c>
      <c r="J16" s="738">
        <v>0</v>
      </c>
      <c r="K16" s="738">
        <v>0</v>
      </c>
      <c r="L16" s="738">
        <v>0</v>
      </c>
      <c r="M16" s="442"/>
      <c r="N16" s="442"/>
      <c r="O16" s="300"/>
      <c r="P16" s="300"/>
    </row>
    <row r="17" spans="1:19" ht="14.25">
      <c r="A17" s="299">
        <v>7</v>
      </c>
      <c r="B17" s="385" t="s">
        <v>895</v>
      </c>
      <c r="C17" s="738">
        <v>0</v>
      </c>
      <c r="D17" s="737">
        <v>0</v>
      </c>
      <c r="E17" s="738">
        <v>0</v>
      </c>
      <c r="F17" s="738">
        <v>0</v>
      </c>
      <c r="G17" s="738">
        <v>0</v>
      </c>
      <c r="H17" s="442"/>
      <c r="I17" s="739">
        <f t="shared" si="3"/>
        <v>0</v>
      </c>
      <c r="J17" s="738">
        <v>0</v>
      </c>
      <c r="K17" s="738">
        <v>0</v>
      </c>
      <c r="L17" s="738">
        <v>0</v>
      </c>
      <c r="M17" s="442"/>
      <c r="N17" s="442"/>
      <c r="O17" s="300"/>
      <c r="P17" s="300"/>
      <c r="R17" s="281">
        <f>C12*D12</f>
        <v>54184</v>
      </c>
    </row>
    <row r="18" spans="1:19" ht="14.25">
      <c r="A18" s="299">
        <v>8</v>
      </c>
      <c r="B18" s="385" t="s">
        <v>896</v>
      </c>
      <c r="C18" s="738">
        <v>0</v>
      </c>
      <c r="D18" s="737">
        <v>0</v>
      </c>
      <c r="E18" s="738">
        <v>0</v>
      </c>
      <c r="F18" s="738">
        <v>0</v>
      </c>
      <c r="G18" s="738">
        <v>0</v>
      </c>
      <c r="H18" s="442"/>
      <c r="I18" s="739">
        <f t="shared" si="3"/>
        <v>0</v>
      </c>
      <c r="J18" s="738">
        <v>0</v>
      </c>
      <c r="K18" s="738">
        <v>0</v>
      </c>
      <c r="L18" s="738">
        <v>0</v>
      </c>
      <c r="M18" s="442"/>
      <c r="N18" s="442"/>
      <c r="O18" s="300"/>
      <c r="P18" s="300"/>
      <c r="R18" s="281">
        <f>C13*D13</f>
        <v>164325</v>
      </c>
    </row>
    <row r="19" spans="1:19" ht="14.25">
      <c r="A19" s="299">
        <v>9</v>
      </c>
      <c r="B19" s="385" t="s">
        <v>897</v>
      </c>
      <c r="C19" s="738">
        <v>0</v>
      </c>
      <c r="D19" s="737">
        <v>0</v>
      </c>
      <c r="E19" s="738">
        <v>0</v>
      </c>
      <c r="F19" s="738">
        <v>0</v>
      </c>
      <c r="G19" s="738">
        <v>0</v>
      </c>
      <c r="H19" s="442"/>
      <c r="I19" s="739">
        <f t="shared" si="3"/>
        <v>0</v>
      </c>
      <c r="J19" s="738">
        <v>0</v>
      </c>
      <c r="K19" s="738">
        <v>0</v>
      </c>
      <c r="L19" s="738">
        <v>0</v>
      </c>
      <c r="M19" s="442"/>
      <c r="N19" s="442"/>
      <c r="O19" s="300"/>
      <c r="P19" s="300"/>
      <c r="R19" s="281">
        <f>C14*D14</f>
        <v>304204</v>
      </c>
    </row>
    <row r="20" spans="1:19" ht="14.25">
      <c r="A20" s="299">
        <v>10</v>
      </c>
      <c r="B20" s="385" t="s">
        <v>898</v>
      </c>
      <c r="C20" s="738">
        <v>0</v>
      </c>
      <c r="D20" s="737">
        <v>0</v>
      </c>
      <c r="E20" s="738">
        <v>0</v>
      </c>
      <c r="F20" s="738">
        <v>0</v>
      </c>
      <c r="G20" s="738">
        <v>0</v>
      </c>
      <c r="H20" s="442"/>
      <c r="I20" s="739">
        <f t="shared" si="3"/>
        <v>0</v>
      </c>
      <c r="J20" s="738">
        <v>0</v>
      </c>
      <c r="K20" s="738">
        <v>0</v>
      </c>
      <c r="L20" s="738">
        <v>0</v>
      </c>
      <c r="M20" s="442"/>
      <c r="N20" s="442"/>
      <c r="O20" s="300"/>
      <c r="P20" s="300"/>
      <c r="R20" s="281">
        <f>R19+R18+R17</f>
        <v>522713</v>
      </c>
      <c r="S20" s="281">
        <f>R20*6.51/100000</f>
        <v>34.028616299999996</v>
      </c>
    </row>
    <row r="21" spans="1:19" ht="14.25">
      <c r="A21" s="299">
        <v>11</v>
      </c>
      <c r="B21" s="385" t="s">
        <v>899</v>
      </c>
      <c r="C21" s="738">
        <v>0</v>
      </c>
      <c r="D21" s="737">
        <v>0</v>
      </c>
      <c r="E21" s="738">
        <v>0</v>
      </c>
      <c r="F21" s="738">
        <v>0</v>
      </c>
      <c r="G21" s="738">
        <v>0</v>
      </c>
      <c r="H21" s="442"/>
      <c r="I21" s="739">
        <f t="shared" si="3"/>
        <v>0</v>
      </c>
      <c r="J21" s="738">
        <v>0</v>
      </c>
      <c r="K21" s="738">
        <v>0</v>
      </c>
      <c r="L21" s="738">
        <v>0</v>
      </c>
      <c r="M21" s="442"/>
      <c r="N21" s="442"/>
      <c r="O21" s="300"/>
      <c r="P21" s="300"/>
    </row>
    <row r="22" spans="1:19" ht="14.25">
      <c r="A22" s="299">
        <v>12</v>
      </c>
      <c r="B22" s="385" t="s">
        <v>900</v>
      </c>
      <c r="C22" s="738">
        <v>0</v>
      </c>
      <c r="D22" s="737">
        <v>0</v>
      </c>
      <c r="E22" s="738">
        <v>0</v>
      </c>
      <c r="F22" s="738">
        <v>0</v>
      </c>
      <c r="G22" s="738">
        <v>0</v>
      </c>
      <c r="H22" s="442"/>
      <c r="I22" s="739">
        <f t="shared" si="3"/>
        <v>0</v>
      </c>
      <c r="J22" s="738">
        <v>0</v>
      </c>
      <c r="K22" s="738">
        <v>0</v>
      </c>
      <c r="L22" s="738">
        <v>0</v>
      </c>
      <c r="M22" s="442"/>
      <c r="N22" s="442"/>
      <c r="O22" s="300"/>
      <c r="P22" s="300"/>
    </row>
    <row r="23" spans="1:19" ht="14.25">
      <c r="A23" s="299">
        <v>13</v>
      </c>
      <c r="B23" s="385" t="s">
        <v>901</v>
      </c>
      <c r="C23" s="738">
        <v>0</v>
      </c>
      <c r="D23" s="737">
        <v>0</v>
      </c>
      <c r="E23" s="738">
        <v>0</v>
      </c>
      <c r="F23" s="738">
        <v>0</v>
      </c>
      <c r="G23" s="738">
        <v>0</v>
      </c>
      <c r="H23" s="442"/>
      <c r="I23" s="739">
        <f t="shared" si="3"/>
        <v>0</v>
      </c>
      <c r="J23" s="738">
        <v>0</v>
      </c>
      <c r="K23" s="738">
        <v>0</v>
      </c>
      <c r="L23" s="738">
        <v>0</v>
      </c>
      <c r="M23" s="442"/>
      <c r="N23" s="442"/>
      <c r="O23" s="300"/>
      <c r="P23" s="300"/>
    </row>
    <row r="24" spans="1:19" ht="14.25">
      <c r="A24" s="299">
        <v>14</v>
      </c>
      <c r="B24" s="385" t="s">
        <v>902</v>
      </c>
      <c r="C24" s="738">
        <v>0</v>
      </c>
      <c r="D24" s="737">
        <v>0</v>
      </c>
      <c r="E24" s="738">
        <v>0</v>
      </c>
      <c r="F24" s="738">
        <v>0</v>
      </c>
      <c r="G24" s="738">
        <v>0</v>
      </c>
      <c r="H24" s="442"/>
      <c r="I24" s="739">
        <f t="shared" si="3"/>
        <v>0</v>
      </c>
      <c r="J24" s="738">
        <v>0</v>
      </c>
      <c r="K24" s="738">
        <v>0</v>
      </c>
      <c r="L24" s="738">
        <v>0</v>
      </c>
      <c r="M24" s="442"/>
      <c r="N24" s="442"/>
      <c r="O24" s="300"/>
      <c r="P24" s="300"/>
    </row>
    <row r="25" spans="1:19" ht="14.25">
      <c r="A25" s="299">
        <v>15</v>
      </c>
      <c r="B25" s="385" t="s">
        <v>903</v>
      </c>
      <c r="C25" s="738">
        <v>0</v>
      </c>
      <c r="D25" s="737">
        <v>0</v>
      </c>
      <c r="E25" s="738">
        <v>0</v>
      </c>
      <c r="F25" s="738">
        <v>0</v>
      </c>
      <c r="G25" s="738">
        <v>0</v>
      </c>
      <c r="H25" s="442"/>
      <c r="I25" s="739">
        <f t="shared" si="3"/>
        <v>0</v>
      </c>
      <c r="J25" s="738">
        <v>0</v>
      </c>
      <c r="K25" s="738">
        <v>0</v>
      </c>
      <c r="L25" s="738">
        <v>0</v>
      </c>
      <c r="M25" s="442"/>
      <c r="N25" s="442"/>
      <c r="O25" s="300"/>
      <c r="P25" s="300"/>
    </row>
    <row r="26" spans="1:19" ht="14.25">
      <c r="A26" s="299">
        <v>16</v>
      </c>
      <c r="B26" s="385" t="s">
        <v>904</v>
      </c>
      <c r="C26" s="738">
        <v>0</v>
      </c>
      <c r="D26" s="737">
        <v>0</v>
      </c>
      <c r="E26" s="738">
        <v>0</v>
      </c>
      <c r="F26" s="738">
        <v>0</v>
      </c>
      <c r="G26" s="738">
        <v>0</v>
      </c>
      <c r="H26" s="442"/>
      <c r="I26" s="739">
        <f t="shared" si="3"/>
        <v>0</v>
      </c>
      <c r="J26" s="738">
        <v>0</v>
      </c>
      <c r="K26" s="738">
        <v>0</v>
      </c>
      <c r="L26" s="738">
        <v>0</v>
      </c>
      <c r="M26" s="442"/>
      <c r="N26" s="442"/>
      <c r="O26" s="300"/>
      <c r="P26" s="300"/>
    </row>
    <row r="27" spans="1:19" ht="14.25">
      <c r="A27" s="299">
        <v>17</v>
      </c>
      <c r="B27" s="385" t="s">
        <v>905</v>
      </c>
      <c r="C27" s="738">
        <v>0</v>
      </c>
      <c r="D27" s="737">
        <v>0</v>
      </c>
      <c r="E27" s="738">
        <v>0</v>
      </c>
      <c r="F27" s="738">
        <v>0</v>
      </c>
      <c r="G27" s="738">
        <v>0</v>
      </c>
      <c r="H27" s="442"/>
      <c r="I27" s="739">
        <f t="shared" si="3"/>
        <v>0</v>
      </c>
      <c r="J27" s="738">
        <v>0</v>
      </c>
      <c r="K27" s="738">
        <v>0</v>
      </c>
      <c r="L27" s="738">
        <v>0</v>
      </c>
      <c r="M27" s="442"/>
      <c r="N27" s="442"/>
      <c r="O27" s="300"/>
      <c r="P27" s="300"/>
    </row>
    <row r="28" spans="1:19" ht="14.25">
      <c r="A28" s="299">
        <v>18</v>
      </c>
      <c r="B28" s="385" t="s">
        <v>906</v>
      </c>
      <c r="C28" s="738">
        <v>0</v>
      </c>
      <c r="D28" s="737">
        <v>0</v>
      </c>
      <c r="E28" s="738">
        <v>0</v>
      </c>
      <c r="F28" s="738">
        <v>0</v>
      </c>
      <c r="G28" s="738">
        <v>0</v>
      </c>
      <c r="H28" s="442"/>
      <c r="I28" s="739">
        <f t="shared" si="3"/>
        <v>0</v>
      </c>
      <c r="J28" s="738">
        <v>0</v>
      </c>
      <c r="K28" s="738">
        <v>0</v>
      </c>
      <c r="L28" s="738">
        <v>0</v>
      </c>
      <c r="M28" s="442"/>
      <c r="N28" s="442"/>
      <c r="O28" s="300"/>
      <c r="P28" s="300"/>
    </row>
    <row r="29" spans="1:19" ht="14.25">
      <c r="A29" s="299">
        <v>19</v>
      </c>
      <c r="B29" s="385" t="s">
        <v>907</v>
      </c>
      <c r="C29" s="738">
        <v>0</v>
      </c>
      <c r="D29" s="737">
        <v>0</v>
      </c>
      <c r="E29" s="738">
        <v>0</v>
      </c>
      <c r="F29" s="738">
        <v>0</v>
      </c>
      <c r="G29" s="738">
        <v>0</v>
      </c>
      <c r="H29" s="442"/>
      <c r="I29" s="739">
        <f t="shared" si="3"/>
        <v>0</v>
      </c>
      <c r="J29" s="738">
        <v>0</v>
      </c>
      <c r="K29" s="738">
        <v>0</v>
      </c>
      <c r="L29" s="738">
        <v>0</v>
      </c>
      <c r="M29" s="442"/>
      <c r="N29" s="442"/>
      <c r="O29" s="300"/>
      <c r="P29" s="300"/>
    </row>
    <row r="30" spans="1:19" ht="14.25">
      <c r="A30" s="299">
        <v>20</v>
      </c>
      <c r="B30" s="385" t="s">
        <v>908</v>
      </c>
      <c r="C30" s="738">
        <v>0</v>
      </c>
      <c r="D30" s="737">
        <v>0</v>
      </c>
      <c r="E30" s="738">
        <v>0</v>
      </c>
      <c r="F30" s="738">
        <v>0</v>
      </c>
      <c r="G30" s="738">
        <v>0</v>
      </c>
      <c r="H30" s="442"/>
      <c r="I30" s="739">
        <f t="shared" si="3"/>
        <v>0</v>
      </c>
      <c r="J30" s="738">
        <v>0</v>
      </c>
      <c r="K30" s="738">
        <v>0</v>
      </c>
      <c r="L30" s="738">
        <v>0</v>
      </c>
      <c r="M30" s="442"/>
      <c r="N30" s="442"/>
      <c r="O30" s="300"/>
      <c r="P30" s="300"/>
    </row>
    <row r="31" spans="1:19" ht="14.25">
      <c r="A31" s="299">
        <v>21</v>
      </c>
      <c r="B31" s="385" t="s">
        <v>909</v>
      </c>
      <c r="C31" s="738">
        <v>0</v>
      </c>
      <c r="D31" s="737">
        <v>0</v>
      </c>
      <c r="E31" s="738">
        <v>0</v>
      </c>
      <c r="F31" s="738">
        <v>0</v>
      </c>
      <c r="G31" s="738">
        <v>0</v>
      </c>
      <c r="H31" s="442"/>
      <c r="I31" s="739">
        <f t="shared" si="3"/>
        <v>0</v>
      </c>
      <c r="J31" s="738">
        <v>0</v>
      </c>
      <c r="K31" s="738">
        <v>0</v>
      </c>
      <c r="L31" s="738">
        <v>0</v>
      </c>
      <c r="M31" s="442"/>
      <c r="N31" s="442"/>
      <c r="O31" s="300"/>
      <c r="P31" s="300"/>
    </row>
    <row r="32" spans="1:19" ht="14.25">
      <c r="A32" s="299">
        <v>22</v>
      </c>
      <c r="B32" s="385" t="s">
        <v>910</v>
      </c>
      <c r="C32" s="738">
        <v>0</v>
      </c>
      <c r="D32" s="737">
        <v>0</v>
      </c>
      <c r="E32" s="738">
        <v>0</v>
      </c>
      <c r="F32" s="738">
        <v>0</v>
      </c>
      <c r="G32" s="738">
        <v>0</v>
      </c>
      <c r="H32" s="300"/>
      <c r="I32" s="739">
        <f t="shared" si="3"/>
        <v>0</v>
      </c>
      <c r="J32" s="738">
        <v>0</v>
      </c>
      <c r="K32" s="738">
        <v>0</v>
      </c>
      <c r="L32" s="738">
        <v>0</v>
      </c>
      <c r="M32" s="300"/>
      <c r="N32" s="300"/>
      <c r="O32" s="300"/>
      <c r="P32" s="300"/>
    </row>
    <row r="33" spans="1:16" ht="14.25">
      <c r="A33" s="299">
        <v>23</v>
      </c>
      <c r="B33" s="385" t="s">
        <v>911</v>
      </c>
      <c r="C33" s="738">
        <v>0</v>
      </c>
      <c r="D33" s="737">
        <v>0</v>
      </c>
      <c r="E33" s="738">
        <v>0</v>
      </c>
      <c r="F33" s="738">
        <v>0</v>
      </c>
      <c r="G33" s="738">
        <v>0</v>
      </c>
      <c r="H33" s="300"/>
      <c r="I33" s="739">
        <f t="shared" si="3"/>
        <v>0</v>
      </c>
      <c r="J33" s="738">
        <v>0</v>
      </c>
      <c r="K33" s="738">
        <v>0</v>
      </c>
      <c r="L33" s="738">
        <v>0</v>
      </c>
      <c r="M33" s="300"/>
      <c r="N33" s="300"/>
      <c r="O33" s="300"/>
      <c r="P33" s="300"/>
    </row>
    <row r="34" spans="1:16" ht="14.25">
      <c r="A34" s="299">
        <v>24</v>
      </c>
      <c r="B34" s="385" t="s">
        <v>912</v>
      </c>
      <c r="C34" s="738">
        <v>0</v>
      </c>
      <c r="D34" s="737">
        <v>0</v>
      </c>
      <c r="E34" s="738">
        <v>0</v>
      </c>
      <c r="F34" s="738">
        <v>0</v>
      </c>
      <c r="G34" s="738">
        <v>0</v>
      </c>
      <c r="H34" s="300"/>
      <c r="I34" s="739">
        <f t="shared" si="3"/>
        <v>0</v>
      </c>
      <c r="J34" s="738">
        <v>0</v>
      </c>
      <c r="K34" s="738">
        <v>0</v>
      </c>
      <c r="L34" s="738">
        <v>0</v>
      </c>
      <c r="M34" s="300"/>
      <c r="N34" s="300"/>
      <c r="O34" s="300"/>
      <c r="P34" s="300"/>
    </row>
    <row r="35" spans="1:16" ht="14.25">
      <c r="A35" s="299">
        <v>25</v>
      </c>
      <c r="B35" s="385" t="s">
        <v>913</v>
      </c>
      <c r="C35" s="738">
        <v>0</v>
      </c>
      <c r="D35" s="737">
        <v>0</v>
      </c>
      <c r="E35" s="738">
        <v>0</v>
      </c>
      <c r="F35" s="738">
        <v>0</v>
      </c>
      <c r="G35" s="738">
        <v>0</v>
      </c>
      <c r="H35" s="300"/>
      <c r="I35" s="739">
        <f t="shared" si="3"/>
        <v>0</v>
      </c>
      <c r="J35" s="738">
        <v>0</v>
      </c>
      <c r="K35" s="738">
        <v>0</v>
      </c>
      <c r="L35" s="738">
        <v>0</v>
      </c>
      <c r="M35" s="300"/>
      <c r="N35" s="300"/>
      <c r="O35" s="300"/>
      <c r="P35" s="300"/>
    </row>
    <row r="36" spans="1:16" ht="14.25">
      <c r="A36" s="299">
        <v>26</v>
      </c>
      <c r="B36" s="385" t="s">
        <v>914</v>
      </c>
      <c r="C36" s="738">
        <v>0</v>
      </c>
      <c r="D36" s="737">
        <v>0</v>
      </c>
      <c r="E36" s="738">
        <v>0</v>
      </c>
      <c r="F36" s="738">
        <v>0</v>
      </c>
      <c r="G36" s="738">
        <v>0</v>
      </c>
      <c r="H36" s="300"/>
      <c r="I36" s="739">
        <f t="shared" si="3"/>
        <v>0</v>
      </c>
      <c r="J36" s="738">
        <v>0</v>
      </c>
      <c r="K36" s="738">
        <v>0</v>
      </c>
      <c r="L36" s="738">
        <v>0</v>
      </c>
      <c r="M36" s="300"/>
      <c r="N36" s="300"/>
      <c r="O36" s="300"/>
      <c r="P36" s="300"/>
    </row>
    <row r="37" spans="1:16" ht="14.25">
      <c r="A37" s="299">
        <v>27</v>
      </c>
      <c r="B37" s="385" t="s">
        <v>915</v>
      </c>
      <c r="C37" s="738">
        <v>0</v>
      </c>
      <c r="D37" s="737">
        <v>0</v>
      </c>
      <c r="E37" s="738">
        <v>0</v>
      </c>
      <c r="F37" s="738">
        <v>0</v>
      </c>
      <c r="G37" s="738">
        <v>0</v>
      </c>
      <c r="H37" s="300"/>
      <c r="I37" s="739">
        <f t="shared" si="3"/>
        <v>0</v>
      </c>
      <c r="J37" s="738">
        <v>0</v>
      </c>
      <c r="K37" s="738">
        <v>0</v>
      </c>
      <c r="L37" s="738">
        <v>0</v>
      </c>
      <c r="M37" s="300"/>
      <c r="N37" s="300"/>
      <c r="O37" s="300"/>
      <c r="P37" s="300"/>
    </row>
    <row r="38" spans="1:16" ht="14.25">
      <c r="A38" s="299">
        <v>28</v>
      </c>
      <c r="B38" s="385" t="s">
        <v>916</v>
      </c>
      <c r="C38" s="738">
        <v>0</v>
      </c>
      <c r="D38" s="737">
        <v>0</v>
      </c>
      <c r="E38" s="738">
        <v>0</v>
      </c>
      <c r="F38" s="738">
        <v>0</v>
      </c>
      <c r="G38" s="738">
        <v>0</v>
      </c>
      <c r="H38" s="300"/>
      <c r="I38" s="739">
        <f t="shared" si="3"/>
        <v>0</v>
      </c>
      <c r="J38" s="738">
        <v>0</v>
      </c>
      <c r="K38" s="738">
        <v>0</v>
      </c>
      <c r="L38" s="738">
        <v>0</v>
      </c>
      <c r="M38" s="300"/>
      <c r="N38" s="300"/>
      <c r="O38" s="300"/>
      <c r="P38" s="300"/>
    </row>
    <row r="39" spans="1:16" ht="14.25">
      <c r="A39" s="299">
        <v>29</v>
      </c>
      <c r="B39" s="385" t="s">
        <v>917</v>
      </c>
      <c r="C39" s="738">
        <v>0</v>
      </c>
      <c r="D39" s="737">
        <v>0</v>
      </c>
      <c r="E39" s="738">
        <v>0</v>
      </c>
      <c r="F39" s="738">
        <v>0</v>
      </c>
      <c r="G39" s="738">
        <v>0</v>
      </c>
      <c r="H39" s="300"/>
      <c r="I39" s="739">
        <f t="shared" si="3"/>
        <v>0</v>
      </c>
      <c r="J39" s="738">
        <v>0</v>
      </c>
      <c r="K39" s="738">
        <v>0</v>
      </c>
      <c r="L39" s="738">
        <v>0</v>
      </c>
      <c r="M39" s="300"/>
      <c r="N39" s="300"/>
      <c r="O39" s="300"/>
      <c r="P39" s="300"/>
    </row>
    <row r="40" spans="1:16" ht="14.25">
      <c r="A40" s="299">
        <v>30</v>
      </c>
      <c r="B40" s="385" t="s">
        <v>918</v>
      </c>
      <c r="C40" s="738">
        <v>0</v>
      </c>
      <c r="D40" s="737">
        <v>0</v>
      </c>
      <c r="E40" s="738">
        <v>0</v>
      </c>
      <c r="F40" s="738">
        <v>0</v>
      </c>
      <c r="G40" s="738">
        <v>0</v>
      </c>
      <c r="H40" s="300"/>
      <c r="I40" s="739">
        <f t="shared" si="3"/>
        <v>0</v>
      </c>
      <c r="J40" s="738">
        <v>0</v>
      </c>
      <c r="K40" s="738">
        <v>0</v>
      </c>
      <c r="L40" s="738">
        <v>0</v>
      </c>
      <c r="M40" s="300"/>
      <c r="N40" s="300"/>
      <c r="O40" s="300"/>
      <c r="P40" s="300"/>
    </row>
    <row r="41" spans="1:16" ht="14.25">
      <c r="A41" s="299">
        <v>31</v>
      </c>
      <c r="B41" s="385" t="s">
        <v>919</v>
      </c>
      <c r="C41" s="738">
        <v>0</v>
      </c>
      <c r="D41" s="737">
        <v>0</v>
      </c>
      <c r="E41" s="738">
        <v>0</v>
      </c>
      <c r="F41" s="738">
        <v>0</v>
      </c>
      <c r="G41" s="738">
        <v>0</v>
      </c>
      <c r="H41" s="300"/>
      <c r="I41" s="739">
        <f t="shared" si="3"/>
        <v>0</v>
      </c>
      <c r="J41" s="738">
        <v>0</v>
      </c>
      <c r="K41" s="738">
        <v>0</v>
      </c>
      <c r="L41" s="738">
        <v>0</v>
      </c>
      <c r="M41" s="300"/>
      <c r="N41" s="300"/>
      <c r="O41" s="300"/>
      <c r="P41" s="300"/>
    </row>
    <row r="42" spans="1:16" ht="14.25">
      <c r="A42" s="299">
        <v>32</v>
      </c>
      <c r="B42" s="385" t="s">
        <v>920</v>
      </c>
      <c r="C42" s="738">
        <v>0</v>
      </c>
      <c r="D42" s="737">
        <v>0</v>
      </c>
      <c r="E42" s="738">
        <v>0</v>
      </c>
      <c r="F42" s="738">
        <v>0</v>
      </c>
      <c r="G42" s="738">
        <v>0</v>
      </c>
      <c r="H42" s="300"/>
      <c r="I42" s="739">
        <f t="shared" si="3"/>
        <v>0</v>
      </c>
      <c r="J42" s="738">
        <v>0</v>
      </c>
      <c r="K42" s="738">
        <v>0</v>
      </c>
      <c r="L42" s="738">
        <v>0</v>
      </c>
      <c r="M42" s="300"/>
      <c r="N42" s="300"/>
      <c r="O42" s="300"/>
      <c r="P42" s="300"/>
    </row>
    <row r="43" spans="1:16" ht="14.25">
      <c r="A43" s="299">
        <v>33</v>
      </c>
      <c r="B43" s="385" t="s">
        <v>921</v>
      </c>
      <c r="C43" s="738">
        <v>0</v>
      </c>
      <c r="D43" s="737">
        <v>0</v>
      </c>
      <c r="E43" s="738">
        <v>0</v>
      </c>
      <c r="F43" s="738">
        <v>0</v>
      </c>
      <c r="G43" s="738">
        <v>0</v>
      </c>
      <c r="H43" s="300"/>
      <c r="I43" s="739">
        <f t="shared" si="3"/>
        <v>0</v>
      </c>
      <c r="J43" s="738">
        <v>0</v>
      </c>
      <c r="K43" s="738">
        <v>0</v>
      </c>
      <c r="L43" s="738">
        <v>0</v>
      </c>
      <c r="M43" s="300"/>
      <c r="N43" s="300"/>
      <c r="O43" s="300"/>
      <c r="P43" s="300"/>
    </row>
    <row r="44" spans="1:16">
      <c r="A44" s="367" t="s">
        <v>19</v>
      </c>
      <c r="B44" s="300"/>
      <c r="C44" s="740">
        <f>SUM(C11:C43)</f>
        <v>2335</v>
      </c>
      <c r="D44" s="740">
        <f t="shared" ref="D44:P44" si="9">SUM(D11:D43)</f>
        <v>653</v>
      </c>
      <c r="E44" s="740">
        <f t="shared" si="9"/>
        <v>78.406949999999995</v>
      </c>
      <c r="F44" s="740">
        <f t="shared" si="9"/>
        <v>23.522085000000001</v>
      </c>
      <c r="G44" s="740">
        <f t="shared" si="9"/>
        <v>54.884865000000005</v>
      </c>
      <c r="H44" s="740">
        <f t="shared" si="9"/>
        <v>0</v>
      </c>
      <c r="I44" s="739">
        <f t="shared" si="3"/>
        <v>45.742649999999998</v>
      </c>
      <c r="J44" s="740">
        <f t="shared" si="9"/>
        <v>7.8406950000000002</v>
      </c>
      <c r="K44" s="740">
        <f t="shared" si="9"/>
        <v>3.9203475000000001</v>
      </c>
      <c r="L44" s="740">
        <f t="shared" si="9"/>
        <v>3.9203475000000001</v>
      </c>
      <c r="M44" s="740">
        <f t="shared" si="9"/>
        <v>0</v>
      </c>
      <c r="N44" s="740">
        <f t="shared" si="9"/>
        <v>0</v>
      </c>
      <c r="O44" s="740">
        <f t="shared" si="9"/>
        <v>450</v>
      </c>
      <c r="P44" s="740">
        <f t="shared" si="9"/>
        <v>1.4113251</v>
      </c>
    </row>
    <row r="45" spans="1:16">
      <c r="A45" s="302"/>
      <c r="B45" s="302"/>
      <c r="C45" s="302"/>
      <c r="D45" s="302"/>
      <c r="E45" s="295"/>
      <c r="F45" s="295"/>
      <c r="G45" s="295"/>
      <c r="H45" s="295"/>
      <c r="I45" s="295"/>
      <c r="J45" s="295"/>
      <c r="K45" s="295"/>
      <c r="L45" s="295"/>
      <c r="M45" s="295"/>
      <c r="N45" s="295"/>
    </row>
    <row r="46" spans="1:16">
      <c r="A46" s="303"/>
      <c r="B46" s="304"/>
      <c r="C46" s="304"/>
      <c r="D46" s="302"/>
      <c r="E46" s="295"/>
      <c r="F46" s="295"/>
      <c r="G46" s="295"/>
      <c r="H46" s="295"/>
      <c r="I46" s="295"/>
      <c r="J46" s="295"/>
      <c r="K46" s="295"/>
      <c r="L46" s="295"/>
      <c r="M46" s="295"/>
      <c r="N46" s="295"/>
    </row>
    <row r="47" spans="1:16">
      <c r="A47" s="305"/>
      <c r="B47" s="305"/>
      <c r="C47" s="305"/>
      <c r="E47" s="295"/>
      <c r="F47" s="295"/>
      <c r="G47" s="295"/>
      <c r="H47" s="295"/>
      <c r="I47" s="295"/>
      <c r="J47" s="295"/>
      <c r="K47" s="295"/>
      <c r="L47" s="295"/>
      <c r="M47" s="295"/>
      <c r="N47" s="295"/>
    </row>
    <row r="48" spans="1:16">
      <c r="A48" s="305"/>
      <c r="B48" s="305"/>
      <c r="C48" s="305"/>
      <c r="E48" s="295"/>
      <c r="F48" s="295"/>
      <c r="G48" s="295"/>
      <c r="H48" s="295"/>
      <c r="I48" s="295"/>
      <c r="J48" s="295"/>
      <c r="K48" s="295"/>
      <c r="L48" s="295"/>
      <c r="M48" s="295"/>
      <c r="N48" s="295"/>
    </row>
    <row r="49" spans="1:14">
      <c r="A49" s="305"/>
      <c r="B49" s="305"/>
      <c r="C49" s="305"/>
      <c r="E49" s="295"/>
      <c r="F49" s="295"/>
      <c r="G49" s="295"/>
      <c r="H49" s="295"/>
      <c r="I49" s="295"/>
      <c r="J49" s="295"/>
      <c r="K49" s="295"/>
      <c r="L49" s="295"/>
      <c r="M49" s="295"/>
      <c r="N49" s="295"/>
    </row>
    <row r="50" spans="1:14">
      <c r="A50" s="305"/>
      <c r="B50" s="305"/>
      <c r="C50" s="305"/>
      <c r="E50" s="295"/>
      <c r="F50" s="295"/>
      <c r="G50" s="295"/>
      <c r="H50" s="295"/>
      <c r="I50" s="295"/>
      <c r="J50" s="295"/>
      <c r="K50" s="295"/>
      <c r="L50" s="295"/>
      <c r="M50" s="295"/>
      <c r="N50" s="295"/>
    </row>
    <row r="51" spans="1:14">
      <c r="A51" s="305" t="s">
        <v>12</v>
      </c>
      <c r="D51" s="305"/>
      <c r="E51" s="295"/>
      <c r="F51" s="305"/>
      <c r="G51" s="305"/>
      <c r="H51" s="305"/>
      <c r="I51" s="305"/>
      <c r="J51" s="305"/>
      <c r="K51" s="305"/>
      <c r="L51" s="305" t="s">
        <v>13</v>
      </c>
      <c r="M51" s="305"/>
      <c r="N51" s="305"/>
    </row>
    <row r="52" spans="1:14" ht="12.75" customHeight="1">
      <c r="E52" s="305"/>
      <c r="F52" s="1098" t="s">
        <v>14</v>
      </c>
      <c r="G52" s="1098"/>
      <c r="H52" s="1098"/>
      <c r="I52" s="1098"/>
      <c r="J52" s="1098"/>
      <c r="K52" s="1098"/>
      <c r="L52" s="1098"/>
      <c r="M52" s="1098"/>
      <c r="N52" s="1098"/>
    </row>
    <row r="53" spans="1:14" ht="12.75" customHeight="1">
      <c r="E53" s="1098" t="s">
        <v>90</v>
      </c>
      <c r="F53" s="1098"/>
      <c r="G53" s="1098"/>
      <c r="H53" s="1098"/>
      <c r="I53" s="1098"/>
      <c r="J53" s="1098"/>
      <c r="K53" s="1098"/>
      <c r="L53" s="1098"/>
      <c r="M53" s="1098"/>
      <c r="N53" s="1098"/>
    </row>
    <row r="54" spans="1:14">
      <c r="A54" s="305"/>
      <c r="B54" s="305"/>
      <c r="E54" s="295"/>
      <c r="F54" s="305"/>
      <c r="G54" s="305"/>
      <c r="H54" s="305"/>
      <c r="I54" s="305"/>
      <c r="J54" s="305"/>
      <c r="K54" s="305"/>
      <c r="L54" s="305" t="s">
        <v>856</v>
      </c>
      <c r="M54" s="305"/>
      <c r="N54" s="305"/>
    </row>
    <row r="56" spans="1:14">
      <c r="A56" s="1095"/>
      <c r="B56" s="1095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</row>
    <row r="58" spans="1:14">
      <c r="F58" s="281">
        <f>F44*3000/100000</f>
        <v>0.70566255</v>
      </c>
      <c r="G58" s="281">
        <f>G44*2000/100000</f>
        <v>1.0976973000000001</v>
      </c>
    </row>
  </sheetData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52:N52"/>
    <mergeCell ref="E53:N53"/>
    <mergeCell ref="A56:N56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X30"/>
  <sheetViews>
    <sheetView view="pageBreakPreview" topLeftCell="D1" zoomScale="80" zoomScaleNormal="70" zoomScaleSheetLayoutView="80" workbookViewId="0">
      <selection activeCell="G32" sqref="G32"/>
    </sheetView>
  </sheetViews>
  <sheetFormatPr defaultRowHeight="12.75"/>
  <cols>
    <col min="1" max="1" width="7.28515625" style="206" customWidth="1"/>
    <col min="2" max="2" width="26" style="206" customWidth="1"/>
    <col min="3" max="3" width="12.85546875" style="206" customWidth="1"/>
    <col min="4" max="4" width="11.42578125" style="206" customWidth="1"/>
    <col min="5" max="5" width="11.85546875" style="206" customWidth="1"/>
    <col min="6" max="6" width="16.5703125" style="206" customWidth="1"/>
    <col min="7" max="10" width="10.7109375" style="206" customWidth="1"/>
    <col min="11" max="12" width="11.85546875" style="206" customWidth="1"/>
    <col min="13" max="13" width="12.85546875" style="206" customWidth="1"/>
    <col min="14" max="14" width="13.28515625" style="206" customWidth="1"/>
    <col min="15" max="18" width="9.140625" style="206"/>
    <col min="19" max="21" width="8.85546875" style="206" customWidth="1"/>
    <col min="22" max="16384" width="9.140625" style="206"/>
  </cols>
  <sheetData>
    <row r="1" spans="1:24" ht="15">
      <c r="V1" s="207" t="s">
        <v>545</v>
      </c>
    </row>
    <row r="2" spans="1:24" ht="15.75">
      <c r="G2" s="139" t="s">
        <v>0</v>
      </c>
      <c r="H2" s="139"/>
      <c r="I2" s="139"/>
      <c r="O2" s="93"/>
      <c r="P2" s="93"/>
      <c r="Q2" s="93"/>
      <c r="R2" s="93"/>
    </row>
    <row r="3" spans="1:24" ht="20.25">
      <c r="C3" s="912" t="s">
        <v>705</v>
      </c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4" ht="18"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</row>
    <row r="5" spans="1:24" ht="15.75">
      <c r="B5" s="913" t="s">
        <v>847</v>
      </c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4"/>
      <c r="U5" s="914" t="s">
        <v>253</v>
      </c>
      <c r="V5" s="915"/>
    </row>
    <row r="6" spans="1:24" ht="15">
      <c r="K6" s="93"/>
      <c r="L6" s="93"/>
      <c r="M6" s="93"/>
      <c r="N6" s="93"/>
      <c r="O6" s="93"/>
      <c r="P6" s="93"/>
      <c r="Q6" s="93"/>
      <c r="R6" s="93"/>
    </row>
    <row r="7" spans="1:24">
      <c r="A7" s="890" t="s">
        <v>922</v>
      </c>
      <c r="B7" s="890"/>
      <c r="O7" s="916" t="s">
        <v>781</v>
      </c>
      <c r="P7" s="916"/>
      <c r="Q7" s="916"/>
      <c r="R7" s="916"/>
      <c r="S7" s="916"/>
      <c r="T7" s="916"/>
      <c r="U7" s="916"/>
      <c r="V7" s="916"/>
    </row>
    <row r="8" spans="1:24" ht="35.25" customHeight="1">
      <c r="A8" s="895" t="s">
        <v>2</v>
      </c>
      <c r="B8" s="895" t="s">
        <v>150</v>
      </c>
      <c r="C8" s="896" t="s">
        <v>151</v>
      </c>
      <c r="D8" s="896"/>
      <c r="E8" s="896"/>
      <c r="F8" s="896" t="s">
        <v>152</v>
      </c>
      <c r="G8" s="895" t="s">
        <v>181</v>
      </c>
      <c r="H8" s="895"/>
      <c r="I8" s="895"/>
      <c r="J8" s="895"/>
      <c r="K8" s="895"/>
      <c r="L8" s="895"/>
      <c r="M8" s="895"/>
      <c r="N8" s="895"/>
      <c r="O8" s="895" t="s">
        <v>182</v>
      </c>
      <c r="P8" s="895"/>
      <c r="Q8" s="895"/>
      <c r="R8" s="895"/>
      <c r="S8" s="895"/>
      <c r="T8" s="895"/>
      <c r="U8" s="895"/>
      <c r="V8" s="895"/>
    </row>
    <row r="9" spans="1:24" ht="15">
      <c r="A9" s="895"/>
      <c r="B9" s="895"/>
      <c r="C9" s="896" t="s">
        <v>254</v>
      </c>
      <c r="D9" s="896" t="s">
        <v>46</v>
      </c>
      <c r="E9" s="896" t="s">
        <v>47</v>
      </c>
      <c r="F9" s="896"/>
      <c r="G9" s="895" t="s">
        <v>183</v>
      </c>
      <c r="H9" s="895"/>
      <c r="I9" s="895"/>
      <c r="J9" s="895"/>
      <c r="K9" s="895" t="s">
        <v>167</v>
      </c>
      <c r="L9" s="895"/>
      <c r="M9" s="895"/>
      <c r="N9" s="895"/>
      <c r="O9" s="895" t="s">
        <v>153</v>
      </c>
      <c r="P9" s="895"/>
      <c r="Q9" s="895"/>
      <c r="R9" s="895"/>
      <c r="S9" s="895" t="s">
        <v>166</v>
      </c>
      <c r="T9" s="895"/>
      <c r="U9" s="895"/>
      <c r="V9" s="895"/>
    </row>
    <row r="10" spans="1:24">
      <c r="A10" s="895"/>
      <c r="B10" s="895"/>
      <c r="C10" s="896"/>
      <c r="D10" s="896"/>
      <c r="E10" s="896"/>
      <c r="F10" s="896"/>
      <c r="G10" s="897" t="s">
        <v>154</v>
      </c>
      <c r="H10" s="898"/>
      <c r="I10" s="899"/>
      <c r="J10" s="903" t="s">
        <v>155</v>
      </c>
      <c r="K10" s="906" t="s">
        <v>154</v>
      </c>
      <c r="L10" s="907"/>
      <c r="M10" s="908"/>
      <c r="N10" s="903" t="s">
        <v>155</v>
      </c>
      <c r="O10" s="906" t="s">
        <v>154</v>
      </c>
      <c r="P10" s="907"/>
      <c r="Q10" s="908"/>
      <c r="R10" s="903" t="s">
        <v>155</v>
      </c>
      <c r="S10" s="906" t="s">
        <v>154</v>
      </c>
      <c r="T10" s="907"/>
      <c r="U10" s="908"/>
      <c r="V10" s="903" t="s">
        <v>155</v>
      </c>
    </row>
    <row r="11" spans="1:24" ht="15" customHeight="1">
      <c r="A11" s="895"/>
      <c r="B11" s="895"/>
      <c r="C11" s="896"/>
      <c r="D11" s="896"/>
      <c r="E11" s="896"/>
      <c r="F11" s="896"/>
      <c r="G11" s="900"/>
      <c r="H11" s="901"/>
      <c r="I11" s="902"/>
      <c r="J11" s="904"/>
      <c r="K11" s="909"/>
      <c r="L11" s="910"/>
      <c r="M11" s="911"/>
      <c r="N11" s="904"/>
      <c r="O11" s="909"/>
      <c r="P11" s="910"/>
      <c r="Q11" s="911"/>
      <c r="R11" s="904"/>
      <c r="S11" s="909"/>
      <c r="T11" s="910"/>
      <c r="U11" s="911"/>
      <c r="V11" s="904"/>
    </row>
    <row r="12" spans="1:24" ht="15">
      <c r="A12" s="895"/>
      <c r="B12" s="895"/>
      <c r="C12" s="896"/>
      <c r="D12" s="896"/>
      <c r="E12" s="896"/>
      <c r="F12" s="896"/>
      <c r="G12" s="210" t="s">
        <v>254</v>
      </c>
      <c r="H12" s="210" t="s">
        <v>46</v>
      </c>
      <c r="I12" s="211" t="s">
        <v>47</v>
      </c>
      <c r="J12" s="905"/>
      <c r="K12" s="209" t="s">
        <v>254</v>
      </c>
      <c r="L12" s="209" t="s">
        <v>46</v>
      </c>
      <c r="M12" s="209" t="s">
        <v>47</v>
      </c>
      <c r="N12" s="905"/>
      <c r="O12" s="209" t="s">
        <v>254</v>
      </c>
      <c r="P12" s="209" t="s">
        <v>46</v>
      </c>
      <c r="Q12" s="209" t="s">
        <v>47</v>
      </c>
      <c r="R12" s="905"/>
      <c r="S12" s="209" t="s">
        <v>254</v>
      </c>
      <c r="T12" s="209" t="s">
        <v>46</v>
      </c>
      <c r="U12" s="209" t="s">
        <v>47</v>
      </c>
      <c r="V12" s="905"/>
    </row>
    <row r="13" spans="1:24" ht="15">
      <c r="A13" s="209">
        <v>1</v>
      </c>
      <c r="B13" s="209">
        <v>2</v>
      </c>
      <c r="C13" s="209">
        <v>3</v>
      </c>
      <c r="D13" s="209">
        <v>4</v>
      </c>
      <c r="E13" s="209">
        <v>5</v>
      </c>
      <c r="F13" s="209">
        <v>6</v>
      </c>
      <c r="G13" s="209">
        <v>7</v>
      </c>
      <c r="H13" s="209">
        <v>8</v>
      </c>
      <c r="I13" s="209">
        <v>9</v>
      </c>
      <c r="J13" s="209">
        <v>10</v>
      </c>
      <c r="K13" s="209">
        <v>11</v>
      </c>
      <c r="L13" s="209">
        <v>12</v>
      </c>
      <c r="M13" s="209">
        <v>13</v>
      </c>
      <c r="N13" s="209">
        <v>14</v>
      </c>
      <c r="O13" s="209">
        <v>15</v>
      </c>
      <c r="P13" s="209">
        <v>16</v>
      </c>
      <c r="Q13" s="209">
        <v>17</v>
      </c>
      <c r="R13" s="209">
        <v>18</v>
      </c>
      <c r="S13" s="209">
        <v>19</v>
      </c>
      <c r="T13" s="209">
        <v>20</v>
      </c>
      <c r="U13" s="209">
        <v>21</v>
      </c>
      <c r="V13" s="209">
        <v>22</v>
      </c>
    </row>
    <row r="14" spans="1:24" ht="15">
      <c r="A14" s="891" t="s">
        <v>214</v>
      </c>
      <c r="B14" s="892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</row>
    <row r="15" spans="1:24" ht="15">
      <c r="A15" s="209">
        <v>1</v>
      </c>
      <c r="B15" s="212" t="s">
        <v>213</v>
      </c>
      <c r="C15" s="673">
        <v>6229.47</v>
      </c>
      <c r="D15" s="673">
        <v>1940.14</v>
      </c>
      <c r="E15" s="673">
        <v>1478.02</v>
      </c>
      <c r="F15" s="213" t="s">
        <v>996</v>
      </c>
      <c r="G15" s="213">
        <v>6229.47</v>
      </c>
      <c r="H15" s="213">
        <v>1940.14</v>
      </c>
      <c r="I15" s="213">
        <v>1478.02</v>
      </c>
      <c r="J15" s="213" t="s">
        <v>997</v>
      </c>
      <c r="K15" s="213">
        <v>6229.47</v>
      </c>
      <c r="L15" s="213">
        <v>1940.14</v>
      </c>
      <c r="M15" s="213">
        <v>1478.02</v>
      </c>
      <c r="N15" s="213" t="s">
        <v>998</v>
      </c>
      <c r="O15" s="213" t="s">
        <v>7</v>
      </c>
      <c r="P15" s="213" t="s">
        <v>7</v>
      </c>
      <c r="Q15" s="213" t="s">
        <v>7</v>
      </c>
      <c r="R15" s="213" t="s">
        <v>7</v>
      </c>
      <c r="S15" s="213" t="s">
        <v>7</v>
      </c>
      <c r="T15" s="213" t="s">
        <v>7</v>
      </c>
      <c r="U15" s="213" t="s">
        <v>7</v>
      </c>
      <c r="V15" s="213" t="s">
        <v>7</v>
      </c>
    </row>
    <row r="16" spans="1:24" ht="15">
      <c r="A16" s="209">
        <v>2</v>
      </c>
      <c r="B16" s="212" t="s">
        <v>156</v>
      </c>
      <c r="C16" s="673">
        <v>8131.57</v>
      </c>
      <c r="D16" s="673">
        <v>2593.8000000000002</v>
      </c>
      <c r="E16" s="673">
        <v>2008.06</v>
      </c>
      <c r="F16" s="213" t="s">
        <v>999</v>
      </c>
      <c r="G16" s="213">
        <v>8131.57</v>
      </c>
      <c r="H16" s="213">
        <v>2593.8000000000002</v>
      </c>
      <c r="I16" s="213">
        <v>2008.06</v>
      </c>
      <c r="J16" s="213" t="s">
        <v>1000</v>
      </c>
      <c r="K16" s="213">
        <v>8131.57</v>
      </c>
      <c r="L16" s="213">
        <v>2593.8000000000002</v>
      </c>
      <c r="M16" s="213">
        <v>2008.06</v>
      </c>
      <c r="N16" s="213" t="s">
        <v>1001</v>
      </c>
      <c r="O16" s="213" t="s">
        <v>7</v>
      </c>
      <c r="P16" s="213" t="s">
        <v>7</v>
      </c>
      <c r="Q16" s="213" t="s">
        <v>7</v>
      </c>
      <c r="R16" s="213" t="s">
        <v>7</v>
      </c>
      <c r="S16" s="213" t="s">
        <v>7</v>
      </c>
      <c r="T16" s="213" t="s">
        <v>7</v>
      </c>
      <c r="U16" s="213" t="s">
        <v>7</v>
      </c>
      <c r="V16" s="213" t="s">
        <v>7</v>
      </c>
    </row>
    <row r="17" spans="1:24" ht="15">
      <c r="A17" s="209">
        <v>3</v>
      </c>
      <c r="B17" s="212" t="s">
        <v>157</v>
      </c>
      <c r="C17" s="673">
        <v>11980.46</v>
      </c>
      <c r="D17" s="673">
        <v>3731.26</v>
      </c>
      <c r="E17" s="673">
        <v>2842.51</v>
      </c>
      <c r="F17" s="213" t="s">
        <v>1002</v>
      </c>
      <c r="G17" s="213">
        <v>11980.46</v>
      </c>
      <c r="H17" s="213">
        <v>3731.26</v>
      </c>
      <c r="I17" s="213">
        <v>2842.51</v>
      </c>
      <c r="J17" s="213" t="s">
        <v>1003</v>
      </c>
      <c r="K17" s="213">
        <v>11980.46</v>
      </c>
      <c r="L17" s="213">
        <v>3731.26</v>
      </c>
      <c r="M17" s="213">
        <v>2842.51</v>
      </c>
      <c r="N17" s="213" t="s">
        <v>1004</v>
      </c>
      <c r="O17" s="213" t="s">
        <v>7</v>
      </c>
      <c r="P17" s="213" t="s">
        <v>7</v>
      </c>
      <c r="Q17" s="213" t="s">
        <v>7</v>
      </c>
      <c r="R17" s="213" t="s">
        <v>7</v>
      </c>
      <c r="S17" s="213" t="s">
        <v>7</v>
      </c>
      <c r="T17" s="213" t="s">
        <v>7</v>
      </c>
      <c r="U17" s="213" t="s">
        <v>7</v>
      </c>
      <c r="V17" s="213" t="s">
        <v>7</v>
      </c>
    </row>
    <row r="18" spans="1:24" ht="15">
      <c r="A18" s="719">
        <v>4</v>
      </c>
      <c r="B18" s="720" t="s">
        <v>1051</v>
      </c>
      <c r="C18" s="673">
        <v>707.58</v>
      </c>
      <c r="D18" s="673">
        <v>225.7</v>
      </c>
      <c r="E18" s="673">
        <v>174.73</v>
      </c>
      <c r="F18" s="724">
        <v>43339</v>
      </c>
      <c r="G18" s="213">
        <v>707.58</v>
      </c>
      <c r="H18" s="213">
        <v>225.7</v>
      </c>
      <c r="I18" s="213">
        <v>174.73</v>
      </c>
      <c r="J18" s="724">
        <v>43368</v>
      </c>
      <c r="K18" s="213">
        <v>707.58</v>
      </c>
      <c r="L18" s="213">
        <v>225.7</v>
      </c>
      <c r="M18" s="213">
        <v>174.73</v>
      </c>
      <c r="N18" s="724">
        <v>43370</v>
      </c>
      <c r="O18" s="213" t="s">
        <v>7</v>
      </c>
      <c r="P18" s="213" t="s">
        <v>7</v>
      </c>
      <c r="Q18" s="213" t="s">
        <v>7</v>
      </c>
      <c r="R18" s="213" t="s">
        <v>7</v>
      </c>
      <c r="S18" s="213" t="s">
        <v>7</v>
      </c>
      <c r="T18" s="213" t="s">
        <v>7</v>
      </c>
      <c r="U18" s="213" t="s">
        <v>7</v>
      </c>
      <c r="V18" s="213" t="s">
        <v>7</v>
      </c>
    </row>
    <row r="19" spans="1:24" ht="15">
      <c r="A19" s="891" t="s">
        <v>215</v>
      </c>
      <c r="B19" s="892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Q19" s="213"/>
      <c r="R19" s="213"/>
      <c r="S19" s="213"/>
      <c r="T19" s="213"/>
      <c r="U19" s="213"/>
      <c r="V19" s="213"/>
    </row>
    <row r="20" spans="1:24" ht="15">
      <c r="A20" s="209">
        <v>5</v>
      </c>
      <c r="B20" s="212" t="s">
        <v>203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</row>
    <row r="21" spans="1:24" ht="15">
      <c r="A21" s="209">
        <v>6</v>
      </c>
      <c r="B21" s="212" t="s">
        <v>135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</row>
    <row r="24" spans="1:24" ht="14.25">
      <c r="A24" s="893" t="s">
        <v>168</v>
      </c>
      <c r="B24" s="893"/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</row>
    <row r="25" spans="1:24" ht="14.25">
      <c r="A25" s="214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</row>
    <row r="26" spans="1:24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</row>
    <row r="27" spans="1:24" ht="15.75">
      <c r="A27" s="104" t="s">
        <v>12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894" t="s">
        <v>13</v>
      </c>
      <c r="O27" s="894"/>
      <c r="P27" s="894"/>
      <c r="Q27" s="894"/>
      <c r="R27" s="894"/>
      <c r="S27" s="894"/>
      <c r="T27" s="894"/>
      <c r="U27" s="894"/>
      <c r="V27" s="894"/>
    </row>
    <row r="28" spans="1:24" ht="15.75">
      <c r="A28" s="894" t="s">
        <v>14</v>
      </c>
      <c r="B28" s="894"/>
      <c r="C28" s="894"/>
      <c r="D28" s="894"/>
      <c r="E28" s="894"/>
      <c r="F28" s="894"/>
      <c r="G28" s="894"/>
      <c r="H28" s="894"/>
      <c r="I28" s="894"/>
      <c r="J28" s="894"/>
      <c r="K28" s="894"/>
      <c r="L28" s="894"/>
      <c r="M28" s="894"/>
      <c r="N28" s="894"/>
      <c r="O28" s="894"/>
      <c r="P28" s="894"/>
      <c r="Q28" s="894"/>
      <c r="R28" s="894"/>
      <c r="S28" s="894"/>
      <c r="T28" s="894"/>
      <c r="U28" s="894"/>
      <c r="V28" s="894"/>
    </row>
    <row r="29" spans="1:24" ht="15.75">
      <c r="A29" s="894" t="s">
        <v>15</v>
      </c>
      <c r="B29" s="894"/>
      <c r="C29" s="894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  <c r="P29" s="894"/>
      <c r="Q29" s="894"/>
      <c r="R29" s="894"/>
      <c r="S29" s="894"/>
      <c r="T29" s="894"/>
      <c r="U29" s="894"/>
      <c r="V29" s="894"/>
    </row>
    <row r="30" spans="1:24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V30" s="890" t="s">
        <v>87</v>
      </c>
      <c r="W30" s="890"/>
      <c r="X30" s="890"/>
    </row>
  </sheetData>
  <mergeCells count="33">
    <mergeCell ref="K9:N9"/>
    <mergeCell ref="O9:R9"/>
    <mergeCell ref="S9:V9"/>
    <mergeCell ref="R10:R12"/>
    <mergeCell ref="O10:Q11"/>
    <mergeCell ref="C3:N3"/>
    <mergeCell ref="B5:S5"/>
    <mergeCell ref="U5:V5"/>
    <mergeCell ref="A7:B7"/>
    <mergeCell ref="O7:V7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  <mergeCell ref="G9:J9"/>
    <mergeCell ref="V10:V12"/>
    <mergeCell ref="S10:U11"/>
    <mergeCell ref="V30:X30"/>
    <mergeCell ref="A14:B14"/>
    <mergeCell ref="A19:B19"/>
    <mergeCell ref="A24:V24"/>
    <mergeCell ref="N27:V27"/>
    <mergeCell ref="A28:V28"/>
    <mergeCell ref="A29:V29"/>
  </mergeCells>
  <printOptions horizontalCentered="1"/>
  <pageMargins left="0.70866141732283472" right="0.70866141732283472" top="0.23622047244094491" bottom="0" header="0.31496062992125984" footer="0.31496062992125984"/>
  <pageSetup paperSize="9" scale="53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D37"/>
  <sheetViews>
    <sheetView view="pageBreakPreview" zoomScale="106" zoomScaleNormal="70" zoomScaleSheetLayoutView="106" workbookViewId="0">
      <selection activeCell="D37" sqref="D37"/>
    </sheetView>
  </sheetViews>
  <sheetFormatPr defaultRowHeight="12.75"/>
  <cols>
    <col min="1" max="1" width="5.5703125" style="295" customWidth="1"/>
    <col min="2" max="2" width="15.7109375" style="295" customWidth="1"/>
    <col min="3" max="3" width="11.85546875" style="295" customWidth="1"/>
    <col min="4" max="4" width="12.85546875" style="295" customWidth="1"/>
    <col min="5" max="5" width="8.7109375" style="281" customWidth="1"/>
    <col min="6" max="6" width="8" style="281" customWidth="1"/>
    <col min="7" max="7" width="12.85546875" style="281" customWidth="1"/>
    <col min="8" max="8" width="8.42578125" style="281" customWidth="1"/>
    <col min="9" max="10" width="8.140625" style="281" customWidth="1"/>
    <col min="11" max="11" width="8.42578125" style="281" customWidth="1"/>
    <col min="12" max="12" width="8.140625" style="281" customWidth="1"/>
    <col min="13" max="13" width="11.28515625" style="281" customWidth="1"/>
    <col min="14" max="14" width="11.85546875" style="281" customWidth="1"/>
    <col min="15" max="15" width="9.140625" style="295"/>
    <col min="16" max="21" width="12" style="295" customWidth="1"/>
    <col min="22" max="16384" width="9.140625" style="281"/>
  </cols>
  <sheetData>
    <row r="1" spans="1:30" ht="12.75" customHeight="1">
      <c r="D1" s="977"/>
      <c r="E1" s="977"/>
      <c r="F1" s="295"/>
      <c r="G1" s="295"/>
      <c r="H1" s="295"/>
      <c r="I1" s="295"/>
      <c r="J1" s="295"/>
      <c r="K1" s="295"/>
      <c r="L1" s="295"/>
      <c r="M1" s="1104" t="s">
        <v>662</v>
      </c>
      <c r="N1" s="1104"/>
    </row>
    <row r="2" spans="1:30" ht="15.7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</row>
    <row r="3" spans="1:30" ht="18">
      <c r="A3" s="1102" t="s">
        <v>705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</row>
    <row r="4" spans="1:30" ht="9.75" customHeight="1">
      <c r="A4" s="1105" t="s">
        <v>716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</row>
    <row r="5" spans="1:30" s="282" customFormat="1" ht="18.75" customHeight="1">
      <c r="A5" s="1105"/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361"/>
      <c r="P5" s="361"/>
      <c r="Q5" s="361"/>
      <c r="R5" s="361"/>
      <c r="S5" s="361"/>
      <c r="T5" s="361"/>
      <c r="U5" s="361"/>
    </row>
    <row r="6" spans="1:30">
      <c r="A6" s="1103"/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</row>
    <row r="7" spans="1:30">
      <c r="A7" s="972" t="s">
        <v>923</v>
      </c>
      <c r="B7" s="972"/>
      <c r="D7" s="331"/>
      <c r="E7" s="295"/>
      <c r="F7" s="295"/>
      <c r="G7" s="295"/>
      <c r="H7" s="1096"/>
      <c r="I7" s="1096"/>
      <c r="J7" s="1096"/>
      <c r="K7" s="1096"/>
      <c r="L7" s="1096"/>
      <c r="M7" s="1096"/>
      <c r="N7" s="1096"/>
    </row>
    <row r="8" spans="1:30" ht="46.5" customHeight="1">
      <c r="A8" s="976" t="s">
        <v>2</v>
      </c>
      <c r="B8" s="976" t="s">
        <v>3</v>
      </c>
      <c r="C8" s="974" t="s">
        <v>491</v>
      </c>
      <c r="D8" s="966" t="s">
        <v>88</v>
      </c>
      <c r="E8" s="969" t="s">
        <v>89</v>
      </c>
      <c r="F8" s="970"/>
      <c r="G8" s="970"/>
      <c r="H8" s="971"/>
      <c r="I8" s="976" t="s">
        <v>656</v>
      </c>
      <c r="J8" s="976"/>
      <c r="K8" s="976"/>
      <c r="L8" s="976"/>
      <c r="M8" s="976"/>
      <c r="N8" s="976"/>
      <c r="O8" s="1099" t="s">
        <v>855</v>
      </c>
      <c r="P8" s="1099"/>
      <c r="Q8" s="580"/>
      <c r="R8" s="580"/>
      <c r="S8" s="580"/>
      <c r="T8" s="580"/>
      <c r="U8" s="580"/>
    </row>
    <row r="9" spans="1:30" ht="44.45" customHeight="1">
      <c r="A9" s="976"/>
      <c r="B9" s="976"/>
      <c r="C9" s="975"/>
      <c r="D9" s="1097"/>
      <c r="E9" s="351" t="s">
        <v>94</v>
      </c>
      <c r="F9" s="351" t="s">
        <v>22</v>
      </c>
      <c r="G9" s="351" t="s">
        <v>45</v>
      </c>
      <c r="H9" s="351" t="s">
        <v>692</v>
      </c>
      <c r="I9" s="359" t="s">
        <v>19</v>
      </c>
      <c r="J9" s="359" t="s">
        <v>657</v>
      </c>
      <c r="K9" s="359" t="s">
        <v>658</v>
      </c>
      <c r="L9" s="359" t="s">
        <v>659</v>
      </c>
      <c r="M9" s="359" t="s">
        <v>660</v>
      </c>
      <c r="N9" s="359" t="s">
        <v>661</v>
      </c>
      <c r="O9" s="372" t="s">
        <v>869</v>
      </c>
      <c r="P9" s="372" t="s">
        <v>867</v>
      </c>
      <c r="Q9" s="581"/>
      <c r="R9" s="581"/>
      <c r="S9" s="581"/>
      <c r="T9" s="581"/>
      <c r="U9" s="581"/>
    </row>
    <row r="10" spans="1:30" s="368" customFormat="1">
      <c r="A10" s="366">
        <v>1</v>
      </c>
      <c r="B10" s="366">
        <v>2</v>
      </c>
      <c r="C10" s="366">
        <v>3</v>
      </c>
      <c r="D10" s="366">
        <v>8</v>
      </c>
      <c r="E10" s="366">
        <v>9</v>
      </c>
      <c r="F10" s="366">
        <v>10</v>
      </c>
      <c r="G10" s="366">
        <v>11</v>
      </c>
      <c r="H10" s="366">
        <v>12</v>
      </c>
      <c r="I10" s="366">
        <v>9</v>
      </c>
      <c r="J10" s="366">
        <v>10</v>
      </c>
      <c r="K10" s="366">
        <v>11</v>
      </c>
      <c r="L10" s="366">
        <v>12</v>
      </c>
      <c r="M10" s="366">
        <v>13</v>
      </c>
      <c r="N10" s="366">
        <v>14</v>
      </c>
      <c r="O10" s="366">
        <v>15</v>
      </c>
      <c r="P10" s="366">
        <v>16</v>
      </c>
      <c r="Q10" s="582"/>
      <c r="R10" s="582"/>
      <c r="S10" s="582"/>
      <c r="T10" s="582"/>
      <c r="U10" s="582"/>
      <c r="X10" s="368" t="s">
        <v>980</v>
      </c>
      <c r="Y10" s="368" t="s">
        <v>981</v>
      </c>
    </row>
    <row r="11" spans="1:30">
      <c r="A11" s="299">
        <v>1</v>
      </c>
      <c r="B11" s="300" t="s">
        <v>928</v>
      </c>
      <c r="C11" s="299">
        <v>147355</v>
      </c>
      <c r="D11" s="423">
        <v>43</v>
      </c>
      <c r="E11" s="299">
        <f>C11*D11*100/1000000</f>
        <v>633.62649999999996</v>
      </c>
      <c r="F11" s="299">
        <f>E11*30/100</f>
        <v>190.08794999999998</v>
      </c>
      <c r="G11" s="299">
        <f>E11-F11</f>
        <v>443.53854999999999</v>
      </c>
      <c r="H11" s="299"/>
      <c r="I11" s="695">
        <f>C11*D11*14/1000000</f>
        <v>88.707710000000006</v>
      </c>
      <c r="J11" s="695">
        <f>I11*0.5</f>
        <v>44.353855000000003</v>
      </c>
      <c r="K11" s="695">
        <f>I11*0.25</f>
        <v>22.176927500000001</v>
      </c>
      <c r="L11" s="695">
        <f>I11-J11-K11</f>
        <v>22.176927500000001</v>
      </c>
      <c r="M11" s="299"/>
      <c r="N11" s="299"/>
      <c r="O11" s="299">
        <v>150</v>
      </c>
      <c r="P11" s="524">
        <v>10.83501315</v>
      </c>
      <c r="Q11" s="661">
        <f>E11+I11</f>
        <v>722.33420999999998</v>
      </c>
      <c r="R11" s="661">
        <f>Q11*1500/100000</f>
        <v>10.83501315</v>
      </c>
      <c r="S11" s="583">
        <f>E11+I11</f>
        <v>722.33420999999998</v>
      </c>
      <c r="T11" s="302">
        <f>S11*10</f>
        <v>7223.3420999999998</v>
      </c>
      <c r="U11" s="584">
        <f>T11*150/100000</f>
        <v>10.83501315</v>
      </c>
      <c r="V11" s="281">
        <v>2741</v>
      </c>
      <c r="W11" s="281">
        <f>V11*100</f>
        <v>274100</v>
      </c>
      <c r="X11" s="281">
        <f>V11*70</f>
        <v>191870</v>
      </c>
      <c r="Y11" s="281">
        <f>W11-X11</f>
        <v>82230</v>
      </c>
      <c r="Z11" s="281">
        <f>X11+Y11</f>
        <v>274100</v>
      </c>
      <c r="AA11" s="281">
        <f>4037/388850*X11</f>
        <v>1991.9742574257425</v>
      </c>
      <c r="AB11" s="763">
        <v>1992</v>
      </c>
      <c r="AC11" s="763">
        <v>852</v>
      </c>
      <c r="AD11" s="281">
        <f>AB11+AC11</f>
        <v>2844</v>
      </c>
    </row>
    <row r="12" spans="1:30">
      <c r="A12" s="299">
        <v>2</v>
      </c>
      <c r="B12" s="300" t="s">
        <v>931</v>
      </c>
      <c r="C12" s="299">
        <v>11611</v>
      </c>
      <c r="D12" s="423">
        <v>43</v>
      </c>
      <c r="E12" s="299">
        <f t="shared" ref="E12:E19" si="0">C12*D12*100/1000000</f>
        <v>49.927300000000002</v>
      </c>
      <c r="F12" s="299">
        <f t="shared" ref="F12:F19" si="1">E12*30/100</f>
        <v>14.97819</v>
      </c>
      <c r="G12" s="299">
        <f t="shared" ref="G12:G19" si="2">E12-F12</f>
        <v>34.949110000000005</v>
      </c>
      <c r="H12" s="299"/>
      <c r="I12" s="695">
        <f t="shared" ref="I12:I19" si="3">C12*D12*14/1000000</f>
        <v>6.9898220000000002</v>
      </c>
      <c r="J12" s="695">
        <f t="shared" ref="J12:J19" si="4">I12*0.5</f>
        <v>3.4949110000000001</v>
      </c>
      <c r="K12" s="695">
        <f t="shared" ref="K12:K19" si="5">I12*0.25</f>
        <v>1.7474555000000001</v>
      </c>
      <c r="L12" s="695">
        <f t="shared" ref="L12:L19" si="6">I12-J12-K12</f>
        <v>1.7474555000000001</v>
      </c>
      <c r="M12" s="299"/>
      <c r="N12" s="299"/>
      <c r="O12" s="299">
        <v>150</v>
      </c>
      <c r="P12" s="524">
        <v>0.85375683000000002</v>
      </c>
      <c r="Q12" s="661">
        <f t="shared" ref="Q12:Q20" si="7">E12+I12</f>
        <v>56.917122000000006</v>
      </c>
      <c r="R12" s="661">
        <f t="shared" ref="R12:R20" si="8">Q12*1500/100000</f>
        <v>0.85375683000000002</v>
      </c>
      <c r="S12" s="583">
        <f t="shared" ref="S12:S19" si="9">E12+I12</f>
        <v>56.917122000000006</v>
      </c>
      <c r="T12" s="302">
        <f t="shared" ref="T12:T19" si="10">S12*10</f>
        <v>569.17122000000006</v>
      </c>
      <c r="U12" s="584">
        <f t="shared" ref="U12:U19" si="11">T12*150/100000</f>
        <v>0.85375683000000002</v>
      </c>
      <c r="V12" s="281">
        <v>189</v>
      </c>
      <c r="W12" s="281">
        <f t="shared" ref="W12:W19" si="12">V12*100</f>
        <v>18900</v>
      </c>
      <c r="X12" s="281">
        <f t="shared" ref="X12:X19" si="13">V12*70</f>
        <v>13230</v>
      </c>
      <c r="Y12" s="281">
        <f t="shared" ref="Y12:Y19" si="14">W12-X12</f>
        <v>5670</v>
      </c>
      <c r="Z12" s="281">
        <f t="shared" ref="Z12:Z19" si="15">X12+Y12</f>
        <v>18900</v>
      </c>
      <c r="AA12" s="281">
        <f t="shared" ref="AA12:AA19" si="16">4037/388850*X12</f>
        <v>137.35247524752475</v>
      </c>
      <c r="AB12" s="763">
        <v>144</v>
      </c>
      <c r="AC12" s="763">
        <v>62</v>
      </c>
      <c r="AD12" s="281">
        <f t="shared" ref="AD12:AD20" si="17">AB12+AC12</f>
        <v>206</v>
      </c>
    </row>
    <row r="13" spans="1:30">
      <c r="A13" s="299">
        <v>7</v>
      </c>
      <c r="B13" s="300" t="s">
        <v>934</v>
      </c>
      <c r="C13" s="299">
        <v>15815</v>
      </c>
      <c r="D13" s="423">
        <v>43</v>
      </c>
      <c r="E13" s="299">
        <f t="shared" si="0"/>
        <v>68.004499999999993</v>
      </c>
      <c r="F13" s="299">
        <f t="shared" si="1"/>
        <v>20.401349999999997</v>
      </c>
      <c r="G13" s="299">
        <f t="shared" si="2"/>
        <v>47.603149999999999</v>
      </c>
      <c r="H13" s="299"/>
      <c r="I13" s="695">
        <f t="shared" si="3"/>
        <v>9.5206300000000006</v>
      </c>
      <c r="J13" s="695">
        <f t="shared" si="4"/>
        <v>4.7603150000000003</v>
      </c>
      <c r="K13" s="695">
        <f t="shared" si="5"/>
        <v>2.3801575000000001</v>
      </c>
      <c r="L13" s="695">
        <f t="shared" si="6"/>
        <v>2.3801575000000001</v>
      </c>
      <c r="M13" s="299"/>
      <c r="N13" s="299"/>
      <c r="O13" s="299">
        <v>150</v>
      </c>
      <c r="P13" s="524">
        <v>1.1628769499999998</v>
      </c>
      <c r="Q13" s="661">
        <f t="shared" si="7"/>
        <v>77.52512999999999</v>
      </c>
      <c r="R13" s="661">
        <f t="shared" si="8"/>
        <v>1.1628769499999998</v>
      </c>
      <c r="S13" s="583">
        <f t="shared" si="9"/>
        <v>77.52512999999999</v>
      </c>
      <c r="T13" s="302">
        <f t="shared" si="10"/>
        <v>775.2512999999999</v>
      </c>
      <c r="U13" s="584">
        <f t="shared" si="11"/>
        <v>1.1628769499999998</v>
      </c>
      <c r="V13" s="281">
        <v>806</v>
      </c>
      <c r="W13" s="281">
        <f t="shared" si="12"/>
        <v>80600</v>
      </c>
      <c r="X13" s="281">
        <f t="shared" si="13"/>
        <v>56420</v>
      </c>
      <c r="Y13" s="281">
        <f t="shared" si="14"/>
        <v>24180</v>
      </c>
      <c r="Z13" s="281">
        <f t="shared" si="15"/>
        <v>80600</v>
      </c>
      <c r="AA13" s="281">
        <f t="shared" si="16"/>
        <v>585.74653465346535</v>
      </c>
      <c r="AB13" s="763">
        <v>578</v>
      </c>
      <c r="AC13" s="763">
        <v>248</v>
      </c>
      <c r="AD13" s="281">
        <f t="shared" si="17"/>
        <v>826</v>
      </c>
    </row>
    <row r="14" spans="1:30">
      <c r="A14" s="299">
        <v>8</v>
      </c>
      <c r="B14" s="300" t="s">
        <v>979</v>
      </c>
      <c r="C14" s="299">
        <v>6410</v>
      </c>
      <c r="D14" s="423">
        <v>43</v>
      </c>
      <c r="E14" s="299">
        <f t="shared" si="0"/>
        <v>27.562999999999999</v>
      </c>
      <c r="F14" s="299">
        <f t="shared" si="1"/>
        <v>8.2689000000000004</v>
      </c>
      <c r="G14" s="299">
        <f t="shared" si="2"/>
        <v>19.2941</v>
      </c>
      <c r="H14" s="299"/>
      <c r="I14" s="695">
        <f t="shared" si="3"/>
        <v>3.8588200000000001</v>
      </c>
      <c r="J14" s="695">
        <f t="shared" si="4"/>
        <v>1.9294100000000001</v>
      </c>
      <c r="K14" s="695">
        <f t="shared" si="5"/>
        <v>0.96470500000000003</v>
      </c>
      <c r="L14" s="695">
        <f t="shared" si="6"/>
        <v>0.96470500000000003</v>
      </c>
      <c r="M14" s="299"/>
      <c r="N14" s="299"/>
      <c r="O14" s="299">
        <v>150</v>
      </c>
      <c r="P14" s="524">
        <v>0.4713273</v>
      </c>
      <c r="Q14" s="661">
        <f t="shared" si="7"/>
        <v>31.42182</v>
      </c>
      <c r="R14" s="661">
        <f t="shared" si="8"/>
        <v>0.4713273</v>
      </c>
      <c r="S14" s="583">
        <f t="shared" si="9"/>
        <v>31.42182</v>
      </c>
      <c r="T14" s="302">
        <f t="shared" si="10"/>
        <v>314.21820000000002</v>
      </c>
      <c r="U14" s="584">
        <f t="shared" si="11"/>
        <v>0.4713273</v>
      </c>
      <c r="V14" s="281">
        <v>680</v>
      </c>
      <c r="W14" s="281">
        <f t="shared" si="12"/>
        <v>68000</v>
      </c>
      <c r="X14" s="281">
        <f t="shared" si="13"/>
        <v>47600</v>
      </c>
      <c r="Y14" s="281">
        <f t="shared" si="14"/>
        <v>20400</v>
      </c>
      <c r="Z14" s="281">
        <f t="shared" si="15"/>
        <v>68000</v>
      </c>
      <c r="AA14" s="281">
        <f t="shared" si="16"/>
        <v>494.17821782178214</v>
      </c>
      <c r="AB14" s="763">
        <v>501</v>
      </c>
      <c r="AC14" s="763">
        <v>215</v>
      </c>
      <c r="AD14" s="281">
        <f t="shared" si="17"/>
        <v>716</v>
      </c>
    </row>
    <row r="15" spans="1:30">
      <c r="A15" s="299">
        <v>9</v>
      </c>
      <c r="B15" s="300" t="s">
        <v>977</v>
      </c>
      <c r="C15" s="299">
        <v>54368</v>
      </c>
      <c r="D15" s="423">
        <v>43</v>
      </c>
      <c r="E15" s="299">
        <f t="shared" si="0"/>
        <v>233.7824</v>
      </c>
      <c r="F15" s="299">
        <f t="shared" si="1"/>
        <v>70.134720000000002</v>
      </c>
      <c r="G15" s="299">
        <f t="shared" si="2"/>
        <v>163.64767999999998</v>
      </c>
      <c r="H15" s="299"/>
      <c r="I15" s="695">
        <f t="shared" si="3"/>
        <v>32.729536000000003</v>
      </c>
      <c r="J15" s="695">
        <f t="shared" si="4"/>
        <v>16.364768000000002</v>
      </c>
      <c r="K15" s="695">
        <f t="shared" si="5"/>
        <v>8.1823840000000008</v>
      </c>
      <c r="L15" s="695">
        <f t="shared" si="6"/>
        <v>8.1823840000000008</v>
      </c>
      <c r="M15" s="299"/>
      <c r="N15" s="299"/>
      <c r="O15" s="299">
        <v>150</v>
      </c>
      <c r="P15" s="524">
        <v>3.99767904</v>
      </c>
      <c r="Q15" s="661">
        <f t="shared" si="7"/>
        <v>266.51193599999999</v>
      </c>
      <c r="R15" s="661">
        <f t="shared" si="8"/>
        <v>3.99767904</v>
      </c>
      <c r="S15" s="583">
        <f t="shared" si="9"/>
        <v>266.51193599999999</v>
      </c>
      <c r="T15" s="302">
        <f t="shared" si="10"/>
        <v>2665.1193599999997</v>
      </c>
      <c r="U15" s="584">
        <f t="shared" si="11"/>
        <v>3.99767904</v>
      </c>
      <c r="V15" s="281">
        <v>171</v>
      </c>
      <c r="W15" s="281">
        <f t="shared" si="12"/>
        <v>17100</v>
      </c>
      <c r="X15" s="281">
        <f t="shared" si="13"/>
        <v>11970</v>
      </c>
      <c r="Y15" s="281">
        <f t="shared" si="14"/>
        <v>5130</v>
      </c>
      <c r="Z15" s="281">
        <f t="shared" si="15"/>
        <v>17100</v>
      </c>
      <c r="AA15" s="281">
        <f t="shared" si="16"/>
        <v>124.27128712871286</v>
      </c>
      <c r="AB15" s="763">
        <v>130</v>
      </c>
      <c r="AC15" s="763">
        <v>56</v>
      </c>
      <c r="AD15" s="281">
        <f t="shared" si="17"/>
        <v>186</v>
      </c>
    </row>
    <row r="16" spans="1:30">
      <c r="A16" s="299">
        <v>10</v>
      </c>
      <c r="B16" s="300" t="s">
        <v>978</v>
      </c>
      <c r="C16" s="299">
        <v>122118</v>
      </c>
      <c r="D16" s="423">
        <v>43</v>
      </c>
      <c r="E16" s="299">
        <f t="shared" si="0"/>
        <v>525.10739999999998</v>
      </c>
      <c r="F16" s="299">
        <f t="shared" si="1"/>
        <v>157.53222</v>
      </c>
      <c r="G16" s="299">
        <f t="shared" si="2"/>
        <v>367.57517999999999</v>
      </c>
      <c r="H16" s="299"/>
      <c r="I16" s="695">
        <f t="shared" si="3"/>
        <v>73.515035999999995</v>
      </c>
      <c r="J16" s="695">
        <f t="shared" si="4"/>
        <v>36.757517999999997</v>
      </c>
      <c r="K16" s="695">
        <f t="shared" si="5"/>
        <v>18.378758999999999</v>
      </c>
      <c r="L16" s="695">
        <f t="shared" si="6"/>
        <v>18.378758999999999</v>
      </c>
      <c r="M16" s="299"/>
      <c r="N16" s="299"/>
      <c r="O16" s="299">
        <v>150</v>
      </c>
      <c r="P16" s="524">
        <v>8.9793365400000003</v>
      </c>
      <c r="Q16" s="661">
        <f t="shared" si="7"/>
        <v>598.62243599999999</v>
      </c>
      <c r="R16" s="661">
        <f t="shared" si="8"/>
        <v>8.9793365400000003</v>
      </c>
      <c r="S16" s="583">
        <f t="shared" si="9"/>
        <v>598.62243599999999</v>
      </c>
      <c r="T16" s="302">
        <f t="shared" si="10"/>
        <v>5986.2243600000002</v>
      </c>
      <c r="U16" s="584">
        <f t="shared" si="11"/>
        <v>8.9793365400000003</v>
      </c>
      <c r="V16" s="281">
        <v>554</v>
      </c>
      <c r="W16" s="281">
        <f t="shared" si="12"/>
        <v>55400</v>
      </c>
      <c r="X16" s="281">
        <f t="shared" si="13"/>
        <v>38780</v>
      </c>
      <c r="Y16" s="281">
        <f t="shared" si="14"/>
        <v>16620</v>
      </c>
      <c r="Z16" s="281">
        <f t="shared" si="15"/>
        <v>55400</v>
      </c>
      <c r="AA16" s="281">
        <f t="shared" si="16"/>
        <v>402.60990099009899</v>
      </c>
      <c r="AB16" s="763">
        <v>392</v>
      </c>
      <c r="AC16" s="763">
        <v>168</v>
      </c>
      <c r="AD16" s="281">
        <f t="shared" si="17"/>
        <v>560</v>
      </c>
    </row>
    <row r="17" spans="1:30">
      <c r="A17" s="299">
        <v>11</v>
      </c>
      <c r="B17" s="300" t="s">
        <v>945</v>
      </c>
      <c r="C17" s="299">
        <v>34327</v>
      </c>
      <c r="D17" s="423">
        <v>43</v>
      </c>
      <c r="E17" s="299">
        <f t="shared" si="0"/>
        <v>147.6061</v>
      </c>
      <c r="F17" s="299">
        <f t="shared" si="1"/>
        <v>44.281829999999999</v>
      </c>
      <c r="G17" s="299">
        <f t="shared" si="2"/>
        <v>103.32427</v>
      </c>
      <c r="H17" s="299"/>
      <c r="I17" s="695">
        <f t="shared" si="3"/>
        <v>20.664853999999998</v>
      </c>
      <c r="J17" s="695">
        <f t="shared" si="4"/>
        <v>10.332426999999999</v>
      </c>
      <c r="K17" s="695">
        <f t="shared" si="5"/>
        <v>5.1662134999999996</v>
      </c>
      <c r="L17" s="695">
        <f t="shared" si="6"/>
        <v>5.1662134999999996</v>
      </c>
      <c r="M17" s="299"/>
      <c r="N17" s="299"/>
      <c r="O17" s="299">
        <v>150</v>
      </c>
      <c r="P17" s="524">
        <v>2.52406431</v>
      </c>
      <c r="Q17" s="661">
        <f t="shared" si="7"/>
        <v>168.27095399999999</v>
      </c>
      <c r="R17" s="661">
        <f t="shared" si="8"/>
        <v>2.52406431</v>
      </c>
      <c r="S17" s="583">
        <f t="shared" si="9"/>
        <v>168.27095399999999</v>
      </c>
      <c r="T17" s="302">
        <f t="shared" si="10"/>
        <v>1682.7095399999998</v>
      </c>
      <c r="U17" s="584">
        <f t="shared" si="11"/>
        <v>2.52406431</v>
      </c>
      <c r="V17" s="281">
        <v>80</v>
      </c>
      <c r="W17" s="281">
        <f t="shared" si="12"/>
        <v>8000</v>
      </c>
      <c r="X17" s="281">
        <f t="shared" si="13"/>
        <v>5600</v>
      </c>
      <c r="Y17" s="281">
        <f t="shared" si="14"/>
        <v>2400</v>
      </c>
      <c r="Z17" s="281">
        <f t="shared" si="15"/>
        <v>8000</v>
      </c>
      <c r="AA17" s="281">
        <f t="shared" si="16"/>
        <v>58.138613861386133</v>
      </c>
      <c r="AB17" s="763">
        <v>60</v>
      </c>
      <c r="AC17" s="763">
        <v>26</v>
      </c>
      <c r="AD17" s="281">
        <f t="shared" si="17"/>
        <v>86</v>
      </c>
    </row>
    <row r="18" spans="1:30">
      <c r="A18" s="299">
        <v>8</v>
      </c>
      <c r="B18" s="300" t="s">
        <v>990</v>
      </c>
      <c r="C18" s="299">
        <v>18343</v>
      </c>
      <c r="D18" s="423">
        <v>43</v>
      </c>
      <c r="E18" s="299">
        <f t="shared" si="0"/>
        <v>78.874899999999997</v>
      </c>
      <c r="F18" s="299">
        <f t="shared" si="1"/>
        <v>23.662469999999999</v>
      </c>
      <c r="G18" s="299">
        <f t="shared" si="2"/>
        <v>55.212429999999998</v>
      </c>
      <c r="H18" s="299"/>
      <c r="I18" s="695">
        <f t="shared" si="3"/>
        <v>11.042486</v>
      </c>
      <c r="J18" s="695">
        <f t="shared" si="4"/>
        <v>5.5212430000000001</v>
      </c>
      <c r="K18" s="695">
        <f t="shared" si="5"/>
        <v>2.7606215000000001</v>
      </c>
      <c r="L18" s="695">
        <f t="shared" si="6"/>
        <v>2.7606215000000001</v>
      </c>
      <c r="M18" s="299"/>
      <c r="N18" s="299"/>
      <c r="O18" s="299">
        <v>150</v>
      </c>
      <c r="P18" s="524">
        <v>1.34876079</v>
      </c>
      <c r="Q18" s="661">
        <f t="shared" si="7"/>
        <v>89.917385999999993</v>
      </c>
      <c r="R18" s="661">
        <f t="shared" si="8"/>
        <v>1.34876079</v>
      </c>
      <c r="S18" s="583">
        <f t="shared" si="9"/>
        <v>89.917385999999993</v>
      </c>
      <c r="T18" s="302">
        <f t="shared" si="10"/>
        <v>899.17385999999988</v>
      </c>
      <c r="U18" s="584">
        <f t="shared" si="11"/>
        <v>1.3487607899999996</v>
      </c>
      <c r="V18" s="281">
        <v>163</v>
      </c>
      <c r="W18" s="281">
        <f t="shared" si="12"/>
        <v>16300</v>
      </c>
      <c r="X18" s="281">
        <f t="shared" si="13"/>
        <v>11410</v>
      </c>
      <c r="Y18" s="281">
        <f t="shared" si="14"/>
        <v>4890</v>
      </c>
      <c r="Z18" s="281">
        <f t="shared" si="15"/>
        <v>16300</v>
      </c>
      <c r="AA18" s="281">
        <f t="shared" si="16"/>
        <v>118.45742574257424</v>
      </c>
      <c r="AB18" s="763">
        <v>120</v>
      </c>
      <c r="AC18" s="763">
        <v>52</v>
      </c>
      <c r="AD18" s="281">
        <f t="shared" si="17"/>
        <v>172</v>
      </c>
    </row>
    <row r="19" spans="1:30">
      <c r="A19" s="299">
        <v>9</v>
      </c>
      <c r="B19" s="295" t="s">
        <v>949</v>
      </c>
      <c r="C19" s="299">
        <v>8522</v>
      </c>
      <c r="D19" s="423">
        <v>43</v>
      </c>
      <c r="E19" s="299">
        <f t="shared" si="0"/>
        <v>36.644599999999997</v>
      </c>
      <c r="F19" s="299">
        <f t="shared" si="1"/>
        <v>10.99338</v>
      </c>
      <c r="G19" s="299">
        <f t="shared" si="2"/>
        <v>25.651219999999995</v>
      </c>
      <c r="H19" s="299"/>
      <c r="I19" s="695">
        <f t="shared" si="3"/>
        <v>5.1302440000000002</v>
      </c>
      <c r="J19" s="695">
        <f t="shared" si="4"/>
        <v>2.5651220000000001</v>
      </c>
      <c r="K19" s="695">
        <f t="shared" si="5"/>
        <v>1.2825610000000001</v>
      </c>
      <c r="L19" s="695">
        <f t="shared" si="6"/>
        <v>1.2825610000000001</v>
      </c>
      <c r="M19" s="299"/>
      <c r="N19" s="299"/>
      <c r="O19" s="299">
        <v>150</v>
      </c>
      <c r="P19" s="524">
        <v>0.62662265999999989</v>
      </c>
      <c r="Q19" s="661">
        <f t="shared" si="7"/>
        <v>41.774843999999995</v>
      </c>
      <c r="R19" s="661">
        <f t="shared" si="8"/>
        <v>0.62662265999999989</v>
      </c>
      <c r="S19" s="583">
        <f t="shared" si="9"/>
        <v>41.774843999999995</v>
      </c>
      <c r="T19" s="302">
        <f t="shared" si="10"/>
        <v>417.74843999999996</v>
      </c>
      <c r="U19" s="584">
        <f t="shared" si="11"/>
        <v>0.62662266</v>
      </c>
      <c r="V19" s="281">
        <v>171</v>
      </c>
      <c r="W19" s="281">
        <f t="shared" si="12"/>
        <v>17100</v>
      </c>
      <c r="X19" s="281">
        <f t="shared" si="13"/>
        <v>11970</v>
      </c>
      <c r="Y19" s="281">
        <f t="shared" si="14"/>
        <v>5130</v>
      </c>
      <c r="Z19" s="281">
        <f t="shared" si="15"/>
        <v>17100</v>
      </c>
      <c r="AA19" s="281">
        <f t="shared" si="16"/>
        <v>124.27128712871286</v>
      </c>
      <c r="AB19" s="763">
        <v>130</v>
      </c>
      <c r="AC19" s="763">
        <v>56</v>
      </c>
      <c r="AD19" s="281">
        <f t="shared" si="17"/>
        <v>186</v>
      </c>
    </row>
    <row r="20" spans="1:30">
      <c r="A20" s="299" t="s">
        <v>19</v>
      </c>
      <c r="B20" s="300"/>
      <c r="C20" s="299">
        <f>SUM(C11:C19)</f>
        <v>418869</v>
      </c>
      <c r="D20" s="299">
        <v>43</v>
      </c>
      <c r="E20" s="299">
        <f t="shared" ref="E20:P20" si="18">SUM(E11:E19)</f>
        <v>1801.1366999999998</v>
      </c>
      <c r="F20" s="299">
        <f t="shared" si="18"/>
        <v>540.34100999999998</v>
      </c>
      <c r="G20" s="299">
        <f t="shared" si="18"/>
        <v>1260.7956900000001</v>
      </c>
      <c r="H20" s="299">
        <f t="shared" si="18"/>
        <v>0</v>
      </c>
      <c r="I20" s="299">
        <f t="shared" si="18"/>
        <v>252.15913799999998</v>
      </c>
      <c r="J20" s="299">
        <f t="shared" si="18"/>
        <v>126.07956899999999</v>
      </c>
      <c r="K20" s="299">
        <f t="shared" si="18"/>
        <v>63.039784499999996</v>
      </c>
      <c r="L20" s="299">
        <f t="shared" si="18"/>
        <v>63.039784499999996</v>
      </c>
      <c r="M20" s="299">
        <f t="shared" si="18"/>
        <v>0</v>
      </c>
      <c r="N20" s="299">
        <f t="shared" si="18"/>
        <v>0</v>
      </c>
      <c r="O20" s="299">
        <f t="shared" si="18"/>
        <v>1350</v>
      </c>
      <c r="P20" s="524">
        <f t="shared" si="18"/>
        <v>30.799437569999998</v>
      </c>
      <c r="Q20" s="661">
        <f t="shared" si="7"/>
        <v>2053.295838</v>
      </c>
      <c r="R20" s="661">
        <f t="shared" si="8"/>
        <v>30.799437570000002</v>
      </c>
      <c r="S20" s="302"/>
      <c r="T20" s="302"/>
      <c r="U20" s="302"/>
      <c r="X20" s="281">
        <f>SUM(X11:X19)</f>
        <v>388850</v>
      </c>
      <c r="Y20" s="281">
        <f>SUM(Y11:Y19)</f>
        <v>166650</v>
      </c>
      <c r="AB20" s="281">
        <f>SUM(AB11:AB19)</f>
        <v>4047</v>
      </c>
      <c r="AC20" s="281">
        <f>SUM(AC11:AC19)</f>
        <v>1735</v>
      </c>
      <c r="AD20" s="281">
        <f t="shared" si="17"/>
        <v>5782</v>
      </c>
    </row>
    <row r="21" spans="1:30">
      <c r="A21" s="302"/>
      <c r="B21" s="302"/>
      <c r="C21" s="302"/>
      <c r="D21" s="302"/>
      <c r="E21" s="295"/>
      <c r="F21" s="295"/>
      <c r="G21" s="295"/>
      <c r="H21" s="295"/>
      <c r="I21" s="295"/>
      <c r="J21" s="295"/>
      <c r="K21" s="295"/>
      <c r="L21" s="295"/>
      <c r="M21" s="295"/>
      <c r="N21" s="295"/>
    </row>
    <row r="22" spans="1:30">
      <c r="A22" s="303"/>
      <c r="B22" s="304"/>
      <c r="C22" s="304"/>
      <c r="D22" s="302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Q22" s="295">
        <f>E20+I20</f>
        <v>2053.295838</v>
      </c>
    </row>
    <row r="23" spans="1:30">
      <c r="A23" s="305"/>
      <c r="B23" s="305"/>
      <c r="C23" s="305"/>
      <c r="E23" s="295"/>
      <c r="F23" s="295"/>
      <c r="G23" s="295"/>
      <c r="H23" s="295"/>
      <c r="I23" s="295"/>
      <c r="J23" s="295"/>
      <c r="K23" s="295"/>
      <c r="L23" s="295"/>
      <c r="M23" s="295"/>
      <c r="N23" s="295"/>
    </row>
    <row r="24" spans="1:30">
      <c r="A24" s="305"/>
      <c r="B24" s="305"/>
      <c r="C24" s="30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X24" s="281">
        <v>4047</v>
      </c>
      <c r="Y24" s="281">
        <v>1735</v>
      </c>
    </row>
    <row r="25" spans="1:30">
      <c r="A25" s="305"/>
      <c r="B25" s="305"/>
      <c r="C25" s="305"/>
      <c r="E25" s="295"/>
      <c r="F25" s="295"/>
      <c r="G25" s="295"/>
      <c r="H25" s="295"/>
      <c r="I25" s="295"/>
      <c r="J25" s="295"/>
      <c r="K25" s="295"/>
      <c r="L25" s="295"/>
      <c r="M25" s="295"/>
      <c r="N25" s="295"/>
    </row>
    <row r="26" spans="1:30">
      <c r="A26" s="305"/>
      <c r="B26" s="305"/>
      <c r="C26" s="305"/>
      <c r="E26" s="295"/>
      <c r="F26" s="295"/>
      <c r="G26" s="295"/>
      <c r="H26" s="295"/>
      <c r="I26" s="295"/>
      <c r="J26" s="295"/>
      <c r="K26" s="295"/>
      <c r="L26" s="295"/>
      <c r="M26" s="295"/>
      <c r="N26" s="295"/>
    </row>
    <row r="27" spans="1:30">
      <c r="A27" s="305" t="s">
        <v>12</v>
      </c>
      <c r="D27" s="305"/>
      <c r="E27" s="295"/>
      <c r="F27" s="305"/>
      <c r="G27" s="305"/>
      <c r="H27" s="305"/>
      <c r="I27" s="305"/>
      <c r="J27" s="305"/>
      <c r="K27" s="305"/>
      <c r="L27" s="305" t="s">
        <v>13</v>
      </c>
      <c r="M27" s="305"/>
      <c r="N27" s="305"/>
    </row>
    <row r="28" spans="1:30" ht="12.75" customHeight="1">
      <c r="E28" s="305"/>
      <c r="F28" s="1098" t="s">
        <v>14</v>
      </c>
      <c r="G28" s="1098"/>
      <c r="H28" s="1098"/>
      <c r="I28" s="1098"/>
      <c r="J28" s="1098"/>
      <c r="K28" s="1098"/>
      <c r="L28" s="1098"/>
      <c r="M28" s="1098"/>
      <c r="N28" s="1098"/>
    </row>
    <row r="29" spans="1:30" ht="12.75" customHeight="1">
      <c r="E29" s="1098" t="s">
        <v>90</v>
      </c>
      <c r="F29" s="1098"/>
      <c r="G29" s="1098"/>
      <c r="H29" s="1098"/>
      <c r="I29" s="1098"/>
      <c r="J29" s="1098"/>
      <c r="K29" s="1098"/>
      <c r="L29" s="1098"/>
      <c r="M29" s="1098"/>
      <c r="N29" s="1098"/>
    </row>
    <row r="30" spans="1:30">
      <c r="A30" s="305"/>
      <c r="B30" s="305"/>
      <c r="E30" s="295"/>
      <c r="F30" s="305"/>
      <c r="G30" s="305"/>
      <c r="H30" s="305"/>
      <c r="I30" s="305"/>
      <c r="J30" s="305"/>
      <c r="K30" s="305"/>
      <c r="L30" s="305" t="s">
        <v>856</v>
      </c>
      <c r="M30" s="305"/>
      <c r="N30" s="305"/>
    </row>
    <row r="32" spans="1:30">
      <c r="A32" s="1095"/>
      <c r="B32" s="1095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</row>
    <row r="35" spans="4:8">
      <c r="G35" s="469"/>
    </row>
    <row r="37" spans="4:8">
      <c r="D37" s="295">
        <f>C20*D20*4.35/100000</f>
        <v>783.49446449999994</v>
      </c>
      <c r="F37" s="281">
        <f>F20*3000/100000</f>
        <v>16.210230299999999</v>
      </c>
      <c r="G37" s="281">
        <f>G20*2000/100000</f>
        <v>25.215913800000003</v>
      </c>
      <c r="H37" s="281">
        <f>F37+G37</f>
        <v>41.426144100000002</v>
      </c>
    </row>
  </sheetData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28:N28"/>
    <mergeCell ref="E29:N29"/>
    <mergeCell ref="A32:N32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83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U37"/>
  <sheetViews>
    <sheetView view="pageBreakPreview" zoomScaleNormal="70" zoomScaleSheetLayoutView="100" workbookViewId="0">
      <selection activeCell="F23" sqref="F23"/>
    </sheetView>
  </sheetViews>
  <sheetFormatPr defaultRowHeight="12.75"/>
  <cols>
    <col min="1" max="1" width="5.5703125" style="295" customWidth="1"/>
    <col min="2" max="2" width="15.5703125" style="295" customWidth="1"/>
    <col min="3" max="3" width="10.28515625" style="295" customWidth="1"/>
    <col min="4" max="4" width="12.85546875" style="295" customWidth="1"/>
    <col min="5" max="5" width="8.7109375" style="281" customWidth="1"/>
    <col min="6" max="7" width="8" style="281" customWidth="1"/>
    <col min="8" max="10" width="8.140625" style="281" customWidth="1"/>
    <col min="11" max="11" width="8.42578125" style="281" customWidth="1"/>
    <col min="12" max="12" width="8.140625" style="281" customWidth="1"/>
    <col min="13" max="13" width="11.28515625" style="281" customWidth="1"/>
    <col min="14" max="14" width="11.85546875" style="281" customWidth="1"/>
    <col min="15" max="15" width="9.140625" style="295"/>
    <col min="16" max="16" width="13" style="295" customWidth="1"/>
    <col min="17" max="17" width="10.7109375" style="295" customWidth="1"/>
    <col min="18" max="18" width="10.42578125" style="295" customWidth="1"/>
    <col min="19" max="16384" width="9.140625" style="281"/>
  </cols>
  <sheetData>
    <row r="1" spans="1:21" ht="12.75" customHeight="1">
      <c r="D1" s="977"/>
      <c r="E1" s="977"/>
      <c r="F1" s="295"/>
      <c r="G1" s="295"/>
      <c r="H1" s="295"/>
      <c r="I1" s="295"/>
      <c r="J1" s="295"/>
      <c r="K1" s="295"/>
      <c r="L1" s="295"/>
      <c r="M1" s="1104" t="s">
        <v>675</v>
      </c>
      <c r="N1" s="1104"/>
    </row>
    <row r="2" spans="1:21" ht="15.75">
      <c r="A2" s="1101" t="s">
        <v>0</v>
      </c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</row>
    <row r="3" spans="1:21" ht="18">
      <c r="A3" s="1102" t="s">
        <v>705</v>
      </c>
      <c r="B3" s="1102"/>
      <c r="C3" s="1102"/>
      <c r="D3" s="1102"/>
      <c r="E3" s="1102"/>
      <c r="F3" s="1102"/>
      <c r="G3" s="1102"/>
      <c r="H3" s="1102"/>
      <c r="I3" s="1102"/>
      <c r="J3" s="1102"/>
      <c r="K3" s="1102"/>
      <c r="L3" s="1102"/>
      <c r="M3" s="1102"/>
      <c r="N3" s="1102"/>
    </row>
    <row r="4" spans="1:21" ht="9.75" customHeight="1">
      <c r="A4" s="1105" t="s">
        <v>717</v>
      </c>
      <c r="B4" s="1105"/>
      <c r="C4" s="1105"/>
      <c r="D4" s="1105"/>
      <c r="E4" s="1105"/>
      <c r="F4" s="1105"/>
      <c r="G4" s="1105"/>
      <c r="H4" s="1105"/>
      <c r="I4" s="1105"/>
      <c r="J4" s="1105"/>
      <c r="K4" s="1105"/>
      <c r="L4" s="1105"/>
      <c r="M4" s="1105"/>
      <c r="N4" s="1105"/>
    </row>
    <row r="5" spans="1:21" s="282" customFormat="1" ht="18.75" customHeight="1">
      <c r="A5" s="1105"/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361"/>
      <c r="P5" s="361"/>
      <c r="Q5" s="361"/>
      <c r="R5" s="361"/>
    </row>
    <row r="6" spans="1:21">
      <c r="A6" s="1103"/>
      <c r="B6" s="1103"/>
      <c r="C6" s="1103"/>
      <c r="D6" s="1103"/>
      <c r="E6" s="1103"/>
      <c r="F6" s="1103"/>
      <c r="G6" s="1103"/>
      <c r="H6" s="1103"/>
      <c r="I6" s="1103"/>
      <c r="J6" s="1103"/>
      <c r="K6" s="1103"/>
      <c r="L6" s="1103"/>
      <c r="M6" s="1103"/>
      <c r="N6" s="1103"/>
    </row>
    <row r="7" spans="1:21">
      <c r="A7" s="972" t="s">
        <v>923</v>
      </c>
      <c r="B7" s="972"/>
      <c r="D7" s="331"/>
      <c r="E7" s="295"/>
      <c r="F7" s="295"/>
      <c r="G7" s="295"/>
      <c r="H7" s="1096"/>
      <c r="I7" s="1096"/>
      <c r="J7" s="1096"/>
      <c r="K7" s="1096"/>
      <c r="L7" s="1096"/>
      <c r="M7" s="1096"/>
      <c r="N7" s="1096"/>
    </row>
    <row r="8" spans="1:21" ht="24.75" customHeight="1">
      <c r="A8" s="976" t="s">
        <v>2</v>
      </c>
      <c r="B8" s="976" t="s">
        <v>3</v>
      </c>
      <c r="C8" s="974" t="s">
        <v>491</v>
      </c>
      <c r="D8" s="966" t="s">
        <v>88</v>
      </c>
      <c r="E8" s="969" t="s">
        <v>89</v>
      </c>
      <c r="F8" s="970"/>
      <c r="G8" s="970"/>
      <c r="H8" s="971"/>
      <c r="I8" s="976" t="s">
        <v>656</v>
      </c>
      <c r="J8" s="976"/>
      <c r="K8" s="976"/>
      <c r="L8" s="976"/>
      <c r="M8" s="976"/>
      <c r="N8" s="976"/>
      <c r="O8" s="1099" t="s">
        <v>855</v>
      </c>
      <c r="P8" s="1099"/>
      <c r="Q8" s="580"/>
      <c r="R8" s="580"/>
    </row>
    <row r="9" spans="1:21" ht="44.45" customHeight="1">
      <c r="A9" s="976"/>
      <c r="B9" s="976"/>
      <c r="C9" s="975"/>
      <c r="D9" s="1097"/>
      <c r="E9" s="352" t="s">
        <v>94</v>
      </c>
      <c r="F9" s="352" t="s">
        <v>22</v>
      </c>
      <c r="G9" s="352" t="s">
        <v>45</v>
      </c>
      <c r="H9" s="352" t="s">
        <v>692</v>
      </c>
      <c r="I9" s="359" t="s">
        <v>19</v>
      </c>
      <c r="J9" s="359" t="s">
        <v>657</v>
      </c>
      <c r="K9" s="359" t="s">
        <v>658</v>
      </c>
      <c r="L9" s="359" t="s">
        <v>659</v>
      </c>
      <c r="M9" s="359" t="s">
        <v>660</v>
      </c>
      <c r="N9" s="359" t="s">
        <v>661</v>
      </c>
      <c r="O9" s="372" t="s">
        <v>869</v>
      </c>
      <c r="P9" s="372" t="s">
        <v>867</v>
      </c>
      <c r="Q9" s="581"/>
      <c r="R9" s="581"/>
    </row>
    <row r="10" spans="1:21" s="368" customFormat="1">
      <c r="A10" s="366">
        <v>1</v>
      </c>
      <c r="B10" s="366">
        <v>2</v>
      </c>
      <c r="C10" s="366">
        <v>3</v>
      </c>
      <c r="D10" s="366">
        <v>4</v>
      </c>
      <c r="E10" s="366">
        <v>5</v>
      </c>
      <c r="F10" s="366">
        <v>6</v>
      </c>
      <c r="G10" s="366">
        <v>7</v>
      </c>
      <c r="H10" s="366">
        <v>8</v>
      </c>
      <c r="I10" s="366">
        <v>9</v>
      </c>
      <c r="J10" s="366">
        <v>10</v>
      </c>
      <c r="K10" s="366">
        <v>11</v>
      </c>
      <c r="L10" s="366">
        <v>12</v>
      </c>
      <c r="M10" s="366">
        <v>13</v>
      </c>
      <c r="N10" s="366">
        <v>14</v>
      </c>
      <c r="O10" s="366">
        <v>15</v>
      </c>
      <c r="P10" s="366">
        <v>16</v>
      </c>
      <c r="Q10" s="582"/>
      <c r="R10" s="582"/>
    </row>
    <row r="11" spans="1:21">
      <c r="A11" s="299">
        <v>1</v>
      </c>
      <c r="B11" s="300" t="s">
        <v>928</v>
      </c>
      <c r="C11" s="524">
        <v>236834</v>
      </c>
      <c r="D11" s="532">
        <v>43</v>
      </c>
      <c r="E11" s="524">
        <f>C11*D11*150/1000000</f>
        <v>1527.5793000000001</v>
      </c>
      <c r="F11" s="524">
        <f>E11*30/100</f>
        <v>458.27379000000002</v>
      </c>
      <c r="G11" s="524">
        <f>E11-F11</f>
        <v>1069.3055100000001</v>
      </c>
      <c r="H11" s="524"/>
      <c r="I11" s="524">
        <f>C11*D11*21/1000000</f>
        <v>213.86110199999999</v>
      </c>
      <c r="J11" s="524">
        <f>I11*0.5</f>
        <v>106.93055099999999</v>
      </c>
      <c r="K11" s="524">
        <f>I11*0.25</f>
        <v>53.465275499999997</v>
      </c>
      <c r="L11" s="524">
        <f>I11-J11-K11</f>
        <v>53.465275499999997</v>
      </c>
      <c r="M11" s="524"/>
      <c r="N11" s="524"/>
      <c r="O11" s="524">
        <v>150</v>
      </c>
      <c r="P11" s="524">
        <v>26.121606030000002</v>
      </c>
      <c r="Q11" s="661">
        <f>E11+I11</f>
        <v>1741.4404020000002</v>
      </c>
      <c r="R11" s="661">
        <f>Q11*1500/100000</f>
        <v>26.121606030000002</v>
      </c>
      <c r="S11" s="579">
        <f>E11+I11</f>
        <v>1741.4404020000002</v>
      </c>
      <c r="T11" s="281">
        <f>S11*10</f>
        <v>17414.404020000002</v>
      </c>
      <c r="U11" s="579">
        <f>T11*150/100000</f>
        <v>26.121606030000002</v>
      </c>
    </row>
    <row r="12" spans="1:21">
      <c r="A12" s="299">
        <v>2</v>
      </c>
      <c r="B12" s="300" t="s">
        <v>931</v>
      </c>
      <c r="C12" s="524">
        <v>22629</v>
      </c>
      <c r="D12" s="532">
        <v>43</v>
      </c>
      <c r="E12" s="524">
        <f t="shared" ref="E12:E20" si="0">C12*D12*150/1000000</f>
        <v>145.95705000000001</v>
      </c>
      <c r="F12" s="524">
        <f t="shared" ref="F12:F20" si="1">E12*30/100</f>
        <v>43.787115</v>
      </c>
      <c r="G12" s="524">
        <f t="shared" ref="G12:G20" si="2">E12-F12</f>
        <v>102.16993500000001</v>
      </c>
      <c r="H12" s="524"/>
      <c r="I12" s="524">
        <f t="shared" ref="I12:I19" si="3">C12*D12*21/1000000</f>
        <v>20.433986999999998</v>
      </c>
      <c r="J12" s="524">
        <f t="shared" ref="J12:J19" si="4">I12*0.5</f>
        <v>10.216993499999999</v>
      </c>
      <c r="K12" s="524">
        <f t="shared" ref="K12:K19" si="5">I12*0.25</f>
        <v>5.1084967499999996</v>
      </c>
      <c r="L12" s="524">
        <f t="shared" ref="L12:L19" si="6">I12-J12-K12</f>
        <v>5.1084967499999996</v>
      </c>
      <c r="M12" s="524"/>
      <c r="N12" s="524"/>
      <c r="O12" s="524">
        <v>150</v>
      </c>
      <c r="P12" s="524">
        <v>2.495865555</v>
      </c>
      <c r="Q12" s="661">
        <f t="shared" ref="Q12:Q20" si="7">E12+I12</f>
        <v>166.39103700000001</v>
      </c>
      <c r="R12" s="661">
        <f t="shared" ref="R12:R20" si="8">Q12*1500/100000</f>
        <v>2.495865555</v>
      </c>
      <c r="S12" s="579">
        <f t="shared" ref="S12:S20" si="9">E12+I12</f>
        <v>166.39103700000001</v>
      </c>
      <c r="T12" s="281">
        <f t="shared" ref="T12:T20" si="10">S12*10</f>
        <v>1663.9103700000001</v>
      </c>
      <c r="U12" s="579">
        <f t="shared" ref="U12:U20" si="11">T12*150/100000</f>
        <v>2.495865555</v>
      </c>
    </row>
    <row r="13" spans="1:21">
      <c r="A13" s="299">
        <v>3</v>
      </c>
      <c r="B13" s="300" t="s">
        <v>934</v>
      </c>
      <c r="C13" s="524">
        <v>9159</v>
      </c>
      <c r="D13" s="532">
        <v>43</v>
      </c>
      <c r="E13" s="524">
        <f t="shared" si="0"/>
        <v>59.07555</v>
      </c>
      <c r="F13" s="524">
        <f t="shared" si="1"/>
        <v>17.722664999999999</v>
      </c>
      <c r="G13" s="524">
        <f t="shared" si="2"/>
        <v>41.352885000000001</v>
      </c>
      <c r="H13" s="524"/>
      <c r="I13" s="524">
        <f t="shared" si="3"/>
        <v>8.2705769999999994</v>
      </c>
      <c r="J13" s="524">
        <f t="shared" si="4"/>
        <v>4.1352884999999997</v>
      </c>
      <c r="K13" s="524">
        <f t="shared" si="5"/>
        <v>2.0676442499999999</v>
      </c>
      <c r="L13" s="524">
        <f t="shared" si="6"/>
        <v>2.0676442499999999</v>
      </c>
      <c r="M13" s="524"/>
      <c r="N13" s="524"/>
      <c r="O13" s="524">
        <v>150</v>
      </c>
      <c r="P13" s="524">
        <v>1.0101919049999999</v>
      </c>
      <c r="Q13" s="661">
        <f t="shared" si="7"/>
        <v>67.346126999999996</v>
      </c>
      <c r="R13" s="661">
        <f t="shared" si="8"/>
        <v>1.0101919049999999</v>
      </c>
      <c r="S13" s="579">
        <f t="shared" si="9"/>
        <v>67.346126999999996</v>
      </c>
      <c r="T13" s="281">
        <f t="shared" si="10"/>
        <v>673.46127000000001</v>
      </c>
      <c r="U13" s="579">
        <f t="shared" si="11"/>
        <v>1.0101919049999999</v>
      </c>
    </row>
    <row r="14" spans="1:21">
      <c r="A14" s="299">
        <v>4</v>
      </c>
      <c r="B14" s="300" t="s">
        <v>979</v>
      </c>
      <c r="C14" s="524">
        <v>4385</v>
      </c>
      <c r="D14" s="532">
        <v>43</v>
      </c>
      <c r="E14" s="524">
        <f t="shared" si="0"/>
        <v>28.283249999999999</v>
      </c>
      <c r="F14" s="524">
        <f t="shared" si="1"/>
        <v>8.4849749999999986</v>
      </c>
      <c r="G14" s="524">
        <f t="shared" si="2"/>
        <v>19.798275</v>
      </c>
      <c r="H14" s="524"/>
      <c r="I14" s="524">
        <f t="shared" si="3"/>
        <v>3.9596550000000001</v>
      </c>
      <c r="J14" s="524">
        <f t="shared" si="4"/>
        <v>1.9798275000000001</v>
      </c>
      <c r="K14" s="524">
        <f t="shared" si="5"/>
        <v>0.98991375000000004</v>
      </c>
      <c r="L14" s="524">
        <f t="shared" si="6"/>
        <v>0.98991375000000004</v>
      </c>
      <c r="M14" s="524"/>
      <c r="N14" s="524"/>
      <c r="O14" s="524">
        <v>150</v>
      </c>
      <c r="P14" s="524">
        <v>0.48364357499999999</v>
      </c>
      <c r="Q14" s="661">
        <f t="shared" si="7"/>
        <v>32.242905</v>
      </c>
      <c r="R14" s="661">
        <f t="shared" si="8"/>
        <v>0.48364357499999999</v>
      </c>
      <c r="S14" s="579">
        <f t="shared" si="9"/>
        <v>32.242905</v>
      </c>
      <c r="T14" s="281">
        <f t="shared" si="10"/>
        <v>322.42905000000002</v>
      </c>
      <c r="U14" s="579">
        <f t="shared" si="11"/>
        <v>0.48364357500000005</v>
      </c>
    </row>
    <row r="15" spans="1:21">
      <c r="A15" s="299">
        <v>5</v>
      </c>
      <c r="B15" s="300" t="s">
        <v>977</v>
      </c>
      <c r="C15" s="524">
        <v>38690</v>
      </c>
      <c r="D15" s="532">
        <v>43</v>
      </c>
      <c r="E15" s="524">
        <f t="shared" si="0"/>
        <v>249.5505</v>
      </c>
      <c r="F15" s="524">
        <f t="shared" si="1"/>
        <v>74.86515</v>
      </c>
      <c r="G15" s="524">
        <f t="shared" si="2"/>
        <v>174.68535</v>
      </c>
      <c r="H15" s="524"/>
      <c r="I15" s="524">
        <f t="shared" si="3"/>
        <v>34.937069999999999</v>
      </c>
      <c r="J15" s="524">
        <f t="shared" si="4"/>
        <v>17.468534999999999</v>
      </c>
      <c r="K15" s="524">
        <f t="shared" si="5"/>
        <v>8.7342674999999996</v>
      </c>
      <c r="L15" s="524">
        <f t="shared" si="6"/>
        <v>8.7342674999999996</v>
      </c>
      <c r="M15" s="524"/>
      <c r="N15" s="524"/>
      <c r="O15" s="524">
        <v>150</v>
      </c>
      <c r="P15" s="524">
        <v>4.2673135499999999</v>
      </c>
      <c r="Q15" s="661">
        <f t="shared" si="7"/>
        <v>284.48757000000001</v>
      </c>
      <c r="R15" s="661">
        <f t="shared" si="8"/>
        <v>4.2673135499999999</v>
      </c>
      <c r="S15" s="579">
        <f t="shared" si="9"/>
        <v>284.48757000000001</v>
      </c>
      <c r="T15" s="281">
        <f t="shared" si="10"/>
        <v>2844.8757000000001</v>
      </c>
      <c r="U15" s="579">
        <f t="shared" si="11"/>
        <v>4.2673135499999999</v>
      </c>
    </row>
    <row r="16" spans="1:21">
      <c r="A16" s="299">
        <v>6</v>
      </c>
      <c r="B16" s="300" t="s">
        <v>978</v>
      </c>
      <c r="C16" s="524">
        <v>59898</v>
      </c>
      <c r="D16" s="532">
        <v>43</v>
      </c>
      <c r="E16" s="524">
        <f t="shared" si="0"/>
        <v>386.34210000000002</v>
      </c>
      <c r="F16" s="524">
        <f t="shared" si="1"/>
        <v>115.90263</v>
      </c>
      <c r="G16" s="524">
        <f t="shared" si="2"/>
        <v>270.43947000000003</v>
      </c>
      <c r="H16" s="524"/>
      <c r="I16" s="524">
        <f t="shared" si="3"/>
        <v>54.087893999999999</v>
      </c>
      <c r="J16" s="524">
        <f t="shared" si="4"/>
        <v>27.043946999999999</v>
      </c>
      <c r="K16" s="524">
        <f t="shared" si="5"/>
        <v>13.5219735</v>
      </c>
      <c r="L16" s="524">
        <f t="shared" si="6"/>
        <v>13.5219735</v>
      </c>
      <c r="M16" s="524"/>
      <c r="N16" s="524"/>
      <c r="O16" s="524">
        <v>150</v>
      </c>
      <c r="P16" s="524">
        <v>6.6064499100000003</v>
      </c>
      <c r="Q16" s="661">
        <f t="shared" si="7"/>
        <v>440.42999400000002</v>
      </c>
      <c r="R16" s="661">
        <f t="shared" si="8"/>
        <v>6.6064499100000003</v>
      </c>
      <c r="S16" s="579">
        <f t="shared" si="9"/>
        <v>440.42999400000002</v>
      </c>
      <c r="T16" s="281">
        <f t="shared" si="10"/>
        <v>4404.2999399999999</v>
      </c>
      <c r="U16" s="579">
        <f t="shared" si="11"/>
        <v>6.6064499100000003</v>
      </c>
    </row>
    <row r="17" spans="1:21">
      <c r="A17" s="299">
        <v>7</v>
      </c>
      <c r="B17" s="300" t="s">
        <v>945</v>
      </c>
      <c r="C17" s="524">
        <v>36518</v>
      </c>
      <c r="D17" s="532">
        <v>43</v>
      </c>
      <c r="E17" s="524">
        <f t="shared" si="0"/>
        <v>235.5411</v>
      </c>
      <c r="F17" s="524">
        <f t="shared" si="1"/>
        <v>70.662329999999997</v>
      </c>
      <c r="G17" s="524">
        <f t="shared" si="2"/>
        <v>164.87877</v>
      </c>
      <c r="H17" s="524"/>
      <c r="I17" s="524">
        <f t="shared" si="3"/>
        <v>32.975754000000002</v>
      </c>
      <c r="J17" s="524">
        <f t="shared" si="4"/>
        <v>16.487877000000001</v>
      </c>
      <c r="K17" s="524">
        <f t="shared" si="5"/>
        <v>8.2439385000000005</v>
      </c>
      <c r="L17" s="524">
        <f t="shared" si="6"/>
        <v>8.2439385000000005</v>
      </c>
      <c r="M17" s="524"/>
      <c r="N17" s="524"/>
      <c r="O17" s="524">
        <v>150</v>
      </c>
      <c r="P17" s="524">
        <v>4.02775281</v>
      </c>
      <c r="Q17" s="661">
        <f t="shared" si="7"/>
        <v>268.51685400000002</v>
      </c>
      <c r="R17" s="661">
        <f t="shared" si="8"/>
        <v>4.02775281</v>
      </c>
      <c r="S17" s="579">
        <f t="shared" si="9"/>
        <v>268.51685400000002</v>
      </c>
      <c r="T17" s="281">
        <f t="shared" si="10"/>
        <v>2685.1685400000001</v>
      </c>
      <c r="U17" s="579">
        <f t="shared" si="11"/>
        <v>4.02775281</v>
      </c>
    </row>
    <row r="18" spans="1:21">
      <c r="A18" s="299">
        <v>8</v>
      </c>
      <c r="B18" s="300" t="s">
        <v>990</v>
      </c>
      <c r="C18" s="524">
        <v>10690</v>
      </c>
      <c r="D18" s="532">
        <v>43</v>
      </c>
      <c r="E18" s="524">
        <f t="shared" si="0"/>
        <v>68.950500000000005</v>
      </c>
      <c r="F18" s="524">
        <f t="shared" si="1"/>
        <v>20.685150000000004</v>
      </c>
      <c r="G18" s="524">
        <f t="shared" si="2"/>
        <v>48.265349999999998</v>
      </c>
      <c r="H18" s="524"/>
      <c r="I18" s="524">
        <f t="shared" si="3"/>
        <v>9.6530699999999996</v>
      </c>
      <c r="J18" s="524">
        <f t="shared" si="4"/>
        <v>4.8265349999999998</v>
      </c>
      <c r="K18" s="524">
        <f t="shared" si="5"/>
        <v>2.4132674999999999</v>
      </c>
      <c r="L18" s="524">
        <f t="shared" si="6"/>
        <v>2.4132674999999999</v>
      </c>
      <c r="M18" s="524"/>
      <c r="N18" s="524"/>
      <c r="O18" s="524">
        <v>150</v>
      </c>
      <c r="P18" s="524">
        <v>1.1790535500000001</v>
      </c>
      <c r="Q18" s="661">
        <f t="shared" si="7"/>
        <v>78.603570000000005</v>
      </c>
      <c r="R18" s="661">
        <f t="shared" si="8"/>
        <v>1.1790535500000001</v>
      </c>
      <c r="S18" s="579">
        <f t="shared" si="9"/>
        <v>78.603570000000005</v>
      </c>
      <c r="T18" s="281">
        <f t="shared" si="10"/>
        <v>786.03570000000002</v>
      </c>
      <c r="U18" s="579">
        <f t="shared" si="11"/>
        <v>1.1790535499999999</v>
      </c>
    </row>
    <row r="19" spans="1:21">
      <c r="A19" s="299">
        <v>9</v>
      </c>
      <c r="B19" s="295" t="s">
        <v>949</v>
      </c>
      <c r="C19" s="524">
        <v>4760</v>
      </c>
      <c r="D19" s="532">
        <v>43</v>
      </c>
      <c r="E19" s="524">
        <f t="shared" si="0"/>
        <v>30.702000000000002</v>
      </c>
      <c r="F19" s="524">
        <f t="shared" si="1"/>
        <v>9.2106000000000012</v>
      </c>
      <c r="G19" s="524">
        <f t="shared" si="2"/>
        <v>21.491399999999999</v>
      </c>
      <c r="H19" s="524"/>
      <c r="I19" s="524">
        <f t="shared" si="3"/>
        <v>4.2982800000000001</v>
      </c>
      <c r="J19" s="524">
        <f t="shared" si="4"/>
        <v>2.1491400000000001</v>
      </c>
      <c r="K19" s="524">
        <f t="shared" si="5"/>
        <v>1.07457</v>
      </c>
      <c r="L19" s="524">
        <f t="shared" si="6"/>
        <v>1.07457</v>
      </c>
      <c r="M19" s="524"/>
      <c r="N19" s="524"/>
      <c r="O19" s="524">
        <v>150</v>
      </c>
      <c r="P19" s="524">
        <v>0.52500420000000003</v>
      </c>
      <c r="Q19" s="661">
        <f t="shared" si="7"/>
        <v>35.000280000000004</v>
      </c>
      <c r="R19" s="661">
        <f t="shared" si="8"/>
        <v>0.52500420000000003</v>
      </c>
      <c r="S19" s="579">
        <f t="shared" si="9"/>
        <v>35.000280000000004</v>
      </c>
      <c r="T19" s="281">
        <f t="shared" si="10"/>
        <v>350.00280000000004</v>
      </c>
      <c r="U19" s="579">
        <f t="shared" si="11"/>
        <v>0.52500420000000003</v>
      </c>
    </row>
    <row r="20" spans="1:21">
      <c r="A20" s="299">
        <v>10</v>
      </c>
      <c r="B20" s="300" t="s">
        <v>19</v>
      </c>
      <c r="C20" s="524">
        <f>SUM(C11:C19)</f>
        <v>423563</v>
      </c>
      <c r="D20" s="532">
        <v>43</v>
      </c>
      <c r="E20" s="524">
        <f t="shared" si="0"/>
        <v>2731.98135</v>
      </c>
      <c r="F20" s="524">
        <f t="shared" si="1"/>
        <v>819.59440499999994</v>
      </c>
      <c r="G20" s="524">
        <f t="shared" si="2"/>
        <v>1912.3869450000002</v>
      </c>
      <c r="H20" s="524">
        <f t="shared" ref="H20:P20" si="12">SUM(H11:H19)</f>
        <v>0</v>
      </c>
      <c r="I20" s="524">
        <f t="shared" si="12"/>
        <v>382.47738899999996</v>
      </c>
      <c r="J20" s="524">
        <f t="shared" si="12"/>
        <v>191.23869449999998</v>
      </c>
      <c r="K20" s="524">
        <f t="shared" si="12"/>
        <v>95.61934724999999</v>
      </c>
      <c r="L20" s="524">
        <f t="shared" si="12"/>
        <v>95.61934724999999</v>
      </c>
      <c r="M20" s="524">
        <f t="shared" si="12"/>
        <v>0</v>
      </c>
      <c r="N20" s="524">
        <f t="shared" si="12"/>
        <v>0</v>
      </c>
      <c r="O20" s="524">
        <v>150</v>
      </c>
      <c r="P20" s="524">
        <f t="shared" si="12"/>
        <v>46.716881085000004</v>
      </c>
      <c r="Q20" s="661">
        <f t="shared" si="7"/>
        <v>3114.4587390000002</v>
      </c>
      <c r="R20" s="661">
        <f t="shared" si="8"/>
        <v>46.716881085000004</v>
      </c>
      <c r="S20" s="579">
        <f t="shared" si="9"/>
        <v>3114.4587390000002</v>
      </c>
      <c r="T20" s="281">
        <f t="shared" si="10"/>
        <v>31144.587390000001</v>
      </c>
      <c r="U20" s="579">
        <f t="shared" si="11"/>
        <v>46.716881085000004</v>
      </c>
    </row>
    <row r="21" spans="1:21">
      <c r="A21" s="302"/>
      <c r="B21" s="302"/>
      <c r="C21" s="302"/>
      <c r="D21" s="302"/>
      <c r="E21" s="295"/>
      <c r="F21" s="295"/>
      <c r="G21" s="295"/>
      <c r="H21" s="295"/>
      <c r="I21" s="295"/>
      <c r="J21" s="295"/>
      <c r="K21" s="295"/>
      <c r="L21" s="295"/>
      <c r="M21" s="295"/>
      <c r="N21" s="295"/>
    </row>
    <row r="22" spans="1:21">
      <c r="A22" s="303"/>
      <c r="B22" s="304"/>
      <c r="C22" s="304"/>
      <c r="D22" s="302"/>
      <c r="E22" s="295"/>
      <c r="F22" s="295">
        <f>F20/E20</f>
        <v>0.3</v>
      </c>
      <c r="G22" s="295"/>
      <c r="H22" s="295"/>
      <c r="I22" s="295"/>
      <c r="J22" s="295"/>
      <c r="K22" s="295"/>
      <c r="L22" s="295"/>
      <c r="M22" s="295"/>
      <c r="N22" s="295"/>
    </row>
    <row r="23" spans="1:21">
      <c r="A23" s="305"/>
      <c r="B23" s="305"/>
      <c r="C23" s="305"/>
      <c r="E23" s="295"/>
      <c r="F23" s="295"/>
      <c r="G23" s="295"/>
      <c r="H23" s="295"/>
      <c r="I23" s="295"/>
      <c r="J23" s="295"/>
      <c r="K23" s="295"/>
      <c r="L23" s="295"/>
      <c r="M23" s="295"/>
      <c r="N23" s="295"/>
    </row>
    <row r="24" spans="1:21">
      <c r="A24" s="305"/>
      <c r="B24" s="305"/>
      <c r="C24" s="305"/>
      <c r="E24" s="295"/>
      <c r="F24" s="295"/>
      <c r="G24" s="295"/>
      <c r="H24" s="295"/>
      <c r="I24" s="295"/>
      <c r="J24" s="295"/>
      <c r="K24" s="295"/>
      <c r="L24" s="295"/>
      <c r="M24" s="295"/>
      <c r="N24" s="295"/>
    </row>
    <row r="25" spans="1:21">
      <c r="A25" s="305"/>
      <c r="B25" s="305"/>
      <c r="C25" s="305"/>
      <c r="E25" s="295"/>
      <c r="F25" s="295"/>
      <c r="G25" s="295"/>
      <c r="H25" s="295"/>
      <c r="I25" s="295"/>
      <c r="J25" s="295"/>
      <c r="K25" s="295"/>
      <c r="L25" s="295"/>
      <c r="M25" s="295"/>
      <c r="N25" s="295"/>
    </row>
    <row r="26" spans="1:21">
      <c r="A26" s="305"/>
      <c r="B26" s="305"/>
      <c r="C26" s="305"/>
      <c r="E26" s="295"/>
      <c r="F26" s="295"/>
      <c r="G26" s="295"/>
      <c r="H26" s="295"/>
      <c r="I26" s="295"/>
      <c r="J26" s="295"/>
      <c r="K26" s="295"/>
      <c r="L26" s="295"/>
      <c r="M26" s="295"/>
      <c r="N26" s="295"/>
    </row>
    <row r="27" spans="1:21">
      <c r="A27" s="305" t="s">
        <v>12</v>
      </c>
      <c r="D27" s="305"/>
      <c r="E27" s="295"/>
      <c r="F27" s="305"/>
      <c r="G27" s="305"/>
      <c r="H27" s="305"/>
      <c r="I27" s="305"/>
      <c r="J27" s="305"/>
      <c r="K27" s="305"/>
      <c r="L27" s="305" t="s">
        <v>870</v>
      </c>
      <c r="M27" s="305"/>
      <c r="N27" s="305"/>
    </row>
    <row r="28" spans="1:21" ht="12.75" customHeight="1">
      <c r="E28" s="305"/>
      <c r="F28" s="1098" t="s">
        <v>14</v>
      </c>
      <c r="G28" s="1098"/>
      <c r="H28" s="1098"/>
      <c r="I28" s="1098"/>
      <c r="J28" s="1098"/>
      <c r="K28" s="1098"/>
      <c r="L28" s="1098"/>
      <c r="M28" s="1098"/>
      <c r="N28" s="1098"/>
    </row>
    <row r="29" spans="1:21" ht="12.75" customHeight="1">
      <c r="E29" s="1098" t="s">
        <v>90</v>
      </c>
      <c r="F29" s="1098"/>
      <c r="G29" s="1098"/>
      <c r="H29" s="1098"/>
      <c r="I29" s="1098"/>
      <c r="J29" s="1098"/>
      <c r="K29" s="1098"/>
      <c r="L29" s="1098"/>
      <c r="M29" s="1098"/>
      <c r="N29" s="1098"/>
    </row>
    <row r="30" spans="1:21">
      <c r="A30" s="305"/>
      <c r="B30" s="305"/>
      <c r="E30" s="295"/>
      <c r="F30" s="305"/>
      <c r="G30" s="305"/>
      <c r="H30" s="305"/>
      <c r="I30" s="305"/>
      <c r="J30" s="305"/>
      <c r="K30" s="305"/>
      <c r="L30" s="305" t="s">
        <v>856</v>
      </c>
      <c r="M30" s="305"/>
      <c r="N30" s="305"/>
    </row>
    <row r="32" spans="1:21">
      <c r="A32" s="1095"/>
      <c r="B32" s="1095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</row>
    <row r="37" spans="4:9">
      <c r="D37" s="295">
        <f>C20*D20*6.51/100000</f>
        <v>1185.6799059</v>
      </c>
      <c r="G37" s="281">
        <f>F20*3000/100000</f>
        <v>24.587832149999997</v>
      </c>
      <c r="H37" s="281">
        <f>G20*2000/100000</f>
        <v>38.247738900000009</v>
      </c>
      <c r="I37" s="281">
        <f>G37+H37</f>
        <v>62.835571050000006</v>
      </c>
    </row>
  </sheetData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F28:N28"/>
    <mergeCell ref="E29:N29"/>
    <mergeCell ref="A32:N32"/>
    <mergeCell ref="A7:B7"/>
    <mergeCell ref="H7:N7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0.23622047244094491" bottom="0" header="0.31496062992125984" footer="0.31496062992125984"/>
  <pageSetup paperSize="9" scale="86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T50"/>
  <sheetViews>
    <sheetView view="pageBreakPreview" topLeftCell="D1" zoomScaleNormal="90" zoomScaleSheetLayoutView="100" workbookViewId="0">
      <selection activeCell="Q32" sqref="Q32"/>
    </sheetView>
  </sheetViews>
  <sheetFormatPr defaultRowHeight="15"/>
  <cols>
    <col min="1" max="1" width="7.140625" style="77" customWidth="1"/>
    <col min="2" max="2" width="12.5703125" style="77" customWidth="1"/>
    <col min="3" max="4" width="8.5703125" style="77" customWidth="1"/>
    <col min="5" max="5" width="8.7109375" style="77" customWidth="1"/>
    <col min="6" max="6" width="8.5703125" style="77" customWidth="1"/>
    <col min="7" max="7" width="9.7109375" style="77" customWidth="1"/>
    <col min="8" max="8" width="10.28515625" style="77" customWidth="1"/>
    <col min="9" max="9" width="9.7109375" style="77" customWidth="1"/>
    <col min="10" max="10" width="9.28515625" style="77" customWidth="1"/>
    <col min="11" max="11" width="7" style="77" customWidth="1"/>
    <col min="12" max="12" width="7.28515625" style="77" customWidth="1"/>
    <col min="13" max="13" width="7.42578125" style="77" customWidth="1"/>
    <col min="14" max="14" width="7.85546875" style="77" customWidth="1"/>
    <col min="15" max="15" width="11.42578125" style="77" customWidth="1"/>
    <col min="16" max="16" width="12.28515625" style="77" customWidth="1"/>
    <col min="17" max="17" width="11.5703125" style="77" customWidth="1"/>
    <col min="18" max="18" width="16" style="77" customWidth="1"/>
    <col min="19" max="19" width="9" style="77" customWidth="1"/>
    <col min="20" max="20" width="9.140625" style="77" hidden="1" customWidth="1"/>
    <col min="21" max="16384" width="9.140625" style="77"/>
  </cols>
  <sheetData>
    <row r="1" spans="1:20" s="15" customFormat="1" ht="15.75">
      <c r="G1" s="847" t="s">
        <v>0</v>
      </c>
      <c r="H1" s="847"/>
      <c r="I1" s="847"/>
      <c r="J1" s="847"/>
      <c r="K1" s="847"/>
      <c r="L1" s="847"/>
      <c r="M1" s="847"/>
      <c r="N1" s="40"/>
      <c r="O1" s="40"/>
      <c r="R1" s="43" t="s">
        <v>541</v>
      </c>
      <c r="S1" s="43"/>
    </row>
    <row r="2" spans="1:20" s="15" customFormat="1" ht="20.25">
      <c r="B2" s="138"/>
      <c r="E2" s="848" t="s">
        <v>705</v>
      </c>
      <c r="F2" s="848"/>
      <c r="G2" s="848"/>
      <c r="H2" s="848"/>
      <c r="I2" s="848"/>
      <c r="J2" s="848"/>
      <c r="K2" s="848"/>
      <c r="L2" s="848"/>
      <c r="M2" s="848"/>
      <c r="N2" s="848"/>
      <c r="O2" s="848"/>
    </row>
    <row r="3" spans="1:20" s="15" customFormat="1" ht="20.25">
      <c r="B3" s="136"/>
      <c r="C3" s="136"/>
      <c r="D3" s="136"/>
      <c r="E3" s="136"/>
      <c r="F3" s="136"/>
      <c r="G3" s="136"/>
      <c r="H3" s="136"/>
      <c r="I3" s="136"/>
      <c r="J3" s="136"/>
    </row>
    <row r="4" spans="1:20" ht="18">
      <c r="B4" s="1106" t="s">
        <v>859</v>
      </c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6"/>
      <c r="P4" s="1106"/>
      <c r="Q4" s="1106"/>
      <c r="R4" s="1106"/>
      <c r="S4" s="1106"/>
      <c r="T4" s="1106"/>
    </row>
    <row r="5" spans="1:20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</row>
    <row r="6" spans="1:20">
      <c r="A6" s="850" t="s">
        <v>923</v>
      </c>
      <c r="B6" s="850"/>
    </row>
    <row r="7" spans="1:20">
      <c r="B7" s="80"/>
    </row>
    <row r="8" spans="1:20" s="81" customFormat="1" ht="42" customHeight="1">
      <c r="A8" s="844" t="s">
        <v>2</v>
      </c>
      <c r="B8" s="1107" t="s">
        <v>3</v>
      </c>
      <c r="C8" s="1112" t="s">
        <v>243</v>
      </c>
      <c r="D8" s="1112"/>
      <c r="E8" s="1112"/>
      <c r="F8" s="1112"/>
      <c r="G8" s="1109" t="s">
        <v>777</v>
      </c>
      <c r="H8" s="1110"/>
      <c r="I8" s="1110"/>
      <c r="J8" s="1113"/>
      <c r="K8" s="1109" t="s">
        <v>212</v>
      </c>
      <c r="L8" s="1110"/>
      <c r="M8" s="1110"/>
      <c r="N8" s="1113"/>
      <c r="O8" s="1109" t="s">
        <v>112</v>
      </c>
      <c r="P8" s="1110"/>
      <c r="Q8" s="1110"/>
      <c r="R8" s="1111"/>
    </row>
    <row r="9" spans="1:20" s="82" customFormat="1" ht="37.5" customHeight="1">
      <c r="A9" s="844"/>
      <c r="B9" s="1108"/>
      <c r="C9" s="90" t="s">
        <v>98</v>
      </c>
      <c r="D9" s="90" t="s">
        <v>102</v>
      </c>
      <c r="E9" s="90" t="s">
        <v>103</v>
      </c>
      <c r="F9" s="90" t="s">
        <v>19</v>
      </c>
      <c r="G9" s="90" t="s">
        <v>98</v>
      </c>
      <c r="H9" s="90" t="s">
        <v>102</v>
      </c>
      <c r="I9" s="90" t="s">
        <v>103</v>
      </c>
      <c r="J9" s="90" t="s">
        <v>19</v>
      </c>
      <c r="K9" s="90" t="s">
        <v>98</v>
      </c>
      <c r="L9" s="90" t="s">
        <v>102</v>
      </c>
      <c r="M9" s="90" t="s">
        <v>103</v>
      </c>
      <c r="N9" s="90" t="s">
        <v>19</v>
      </c>
      <c r="O9" s="90" t="s">
        <v>145</v>
      </c>
      <c r="P9" s="90" t="s">
        <v>146</v>
      </c>
      <c r="Q9" s="174" t="s">
        <v>147</v>
      </c>
      <c r="R9" s="90" t="s">
        <v>148</v>
      </c>
      <c r="S9" s="130"/>
    </row>
    <row r="10" spans="1:20" s="370" customFormat="1" ht="16.149999999999999" customHeight="1">
      <c r="A10" s="67">
        <v>1</v>
      </c>
      <c r="B10" s="164">
        <v>2</v>
      </c>
      <c r="C10" s="369">
        <v>3</v>
      </c>
      <c r="D10" s="369">
        <v>4</v>
      </c>
      <c r="E10" s="369">
        <v>5</v>
      </c>
      <c r="F10" s="369">
        <v>6</v>
      </c>
      <c r="G10" s="369">
        <v>7</v>
      </c>
      <c r="H10" s="369">
        <v>8</v>
      </c>
      <c r="I10" s="369">
        <v>9</v>
      </c>
      <c r="J10" s="369">
        <v>10</v>
      </c>
      <c r="K10" s="369">
        <v>11</v>
      </c>
      <c r="L10" s="369">
        <v>12</v>
      </c>
      <c r="M10" s="369">
        <v>13</v>
      </c>
      <c r="N10" s="369">
        <v>14</v>
      </c>
      <c r="O10" s="369">
        <v>15</v>
      </c>
      <c r="P10" s="369">
        <v>16</v>
      </c>
      <c r="Q10" s="369">
        <v>17</v>
      </c>
      <c r="R10" s="164">
        <v>18</v>
      </c>
    </row>
    <row r="11" spans="1:20" s="176" customFormat="1" ht="16.149999999999999" customHeight="1">
      <c r="A11" s="5">
        <v>1</v>
      </c>
      <c r="B11" s="385" t="s">
        <v>889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89"/>
    </row>
    <row r="12" spans="1:20" s="176" customFormat="1" ht="16.149999999999999" customHeight="1">
      <c r="A12" s="5">
        <v>2</v>
      </c>
      <c r="B12" s="385" t="s">
        <v>890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89"/>
    </row>
    <row r="13" spans="1:20" s="176" customFormat="1" ht="16.149999999999999" customHeight="1">
      <c r="A13" s="5">
        <v>3</v>
      </c>
      <c r="B13" s="385" t="s">
        <v>891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89"/>
    </row>
    <row r="14" spans="1:20" s="176" customFormat="1" ht="16.149999999999999" customHeight="1">
      <c r="A14" s="5">
        <v>4</v>
      </c>
      <c r="B14" s="385" t="s">
        <v>892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89"/>
    </row>
    <row r="15" spans="1:20" s="176" customFormat="1" ht="16.149999999999999" customHeight="1">
      <c r="A15" s="5">
        <v>5</v>
      </c>
      <c r="B15" s="385" t="s">
        <v>893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89"/>
    </row>
    <row r="16" spans="1:20" s="176" customFormat="1" ht="16.149999999999999" customHeight="1">
      <c r="A16" s="5">
        <v>6</v>
      </c>
      <c r="B16" s="385" t="s">
        <v>894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89"/>
    </row>
    <row r="17" spans="1:18" s="176" customFormat="1" ht="16.149999999999999" customHeight="1">
      <c r="A17" s="5">
        <v>7</v>
      </c>
      <c r="B17" s="385" t="s">
        <v>895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89"/>
    </row>
    <row r="18" spans="1:18" s="176" customFormat="1" ht="16.149999999999999" customHeight="1">
      <c r="A18" s="5">
        <v>8</v>
      </c>
      <c r="B18" s="385" t="s">
        <v>896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89"/>
    </row>
    <row r="19" spans="1:18" s="176" customFormat="1" ht="16.149999999999999" customHeight="1">
      <c r="A19" s="5">
        <v>9</v>
      </c>
      <c r="B19" s="385" t="s">
        <v>897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89"/>
    </row>
    <row r="20" spans="1:18" s="176" customFormat="1" ht="16.149999999999999" customHeight="1">
      <c r="A20" s="5">
        <v>10</v>
      </c>
      <c r="B20" s="385" t="s">
        <v>898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89"/>
    </row>
    <row r="21" spans="1:18" s="176" customFormat="1" ht="16.149999999999999" customHeight="1">
      <c r="A21" s="5">
        <v>11</v>
      </c>
      <c r="B21" s="385" t="s">
        <v>899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89"/>
    </row>
    <row r="22" spans="1:18">
      <c r="A22" s="5">
        <v>12</v>
      </c>
      <c r="B22" s="385" t="s">
        <v>900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>
      <c r="A23" s="5">
        <v>13</v>
      </c>
      <c r="B23" s="385" t="s">
        <v>901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>
      <c r="A24" s="5">
        <v>14</v>
      </c>
      <c r="B24" s="385" t="s">
        <v>902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>
      <c r="A25" s="539">
        <v>15</v>
      </c>
      <c r="B25" s="385" t="s">
        <v>903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>
      <c r="A26" s="539">
        <v>16</v>
      </c>
      <c r="B26" s="385" t="s">
        <v>904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18">
      <c r="A27" s="539">
        <v>17</v>
      </c>
      <c r="B27" s="385" t="s">
        <v>905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>
      <c r="A28" s="539">
        <v>18</v>
      </c>
      <c r="B28" s="385" t="s">
        <v>906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>
      <c r="A29" s="539">
        <v>19</v>
      </c>
      <c r="B29" s="385" t="s">
        <v>907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>
      <c r="A30" s="539">
        <v>20</v>
      </c>
      <c r="B30" s="385" t="s">
        <v>908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>
      <c r="A31" s="539">
        <v>21</v>
      </c>
      <c r="B31" s="385" t="s">
        <v>909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>
      <c r="A32" s="539">
        <v>22</v>
      </c>
      <c r="B32" s="385" t="s">
        <v>910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9">
      <c r="A33" s="539">
        <v>23</v>
      </c>
      <c r="B33" s="385" t="s">
        <v>911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9">
      <c r="A34" s="539">
        <v>24</v>
      </c>
      <c r="B34" s="385" t="s">
        <v>912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1:19">
      <c r="A35" s="539">
        <v>25</v>
      </c>
      <c r="B35" s="385" t="s">
        <v>913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19">
      <c r="A36" s="539">
        <v>26</v>
      </c>
      <c r="B36" s="385" t="s">
        <v>914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9">
      <c r="A37" s="539">
        <v>27</v>
      </c>
      <c r="B37" s="385" t="s">
        <v>915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</row>
    <row r="38" spans="1:19">
      <c r="A38" s="539">
        <v>28</v>
      </c>
      <c r="B38" s="385" t="s">
        <v>916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1:19">
      <c r="A39" s="539">
        <v>29</v>
      </c>
      <c r="B39" s="385" t="s">
        <v>917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19">
      <c r="A40" s="539">
        <v>30</v>
      </c>
      <c r="B40" s="385" t="s">
        <v>918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spans="1:19">
      <c r="A41" s="539">
        <v>31</v>
      </c>
      <c r="B41" s="385" t="s">
        <v>919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1:19">
      <c r="A42" s="539">
        <v>32</v>
      </c>
      <c r="B42" s="385" t="s">
        <v>920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  <row r="43" spans="1:19">
      <c r="A43" s="539">
        <v>33</v>
      </c>
      <c r="B43" s="385" t="s">
        <v>921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pans="1:19" ht="15.75">
      <c r="A44" s="310" t="s">
        <v>19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7" spans="1:19" s="15" customFormat="1" ht="12.75">
      <c r="A47" s="14" t="s">
        <v>12</v>
      </c>
      <c r="G47" s="14"/>
      <c r="H47" s="14"/>
      <c r="K47" s="14"/>
      <c r="L47" s="14"/>
      <c r="M47" s="14"/>
      <c r="N47" s="14"/>
      <c r="O47" s="14"/>
      <c r="P47" s="845" t="s">
        <v>13</v>
      </c>
      <c r="Q47" s="845"/>
      <c r="R47" s="845"/>
      <c r="S47" s="845"/>
    </row>
    <row r="48" spans="1:19" s="15" customFormat="1" ht="12.75" customHeight="1">
      <c r="J48" s="14"/>
      <c r="K48" s="851" t="s">
        <v>14</v>
      </c>
      <c r="L48" s="851"/>
      <c r="M48" s="851"/>
      <c r="N48" s="851"/>
      <c r="O48" s="851"/>
      <c r="P48" s="851"/>
      <c r="Q48" s="851"/>
      <c r="R48" s="851"/>
      <c r="S48" s="851"/>
    </row>
    <row r="49" spans="1:19" s="15" customFormat="1" ht="12.75" customHeight="1">
      <c r="J49" s="851" t="s">
        <v>90</v>
      </c>
      <c r="K49" s="851"/>
      <c r="L49" s="851"/>
      <c r="M49" s="851"/>
      <c r="N49" s="851"/>
      <c r="O49" s="851"/>
      <c r="P49" s="851"/>
      <c r="Q49" s="851"/>
      <c r="R49" s="851"/>
      <c r="S49" s="851"/>
    </row>
    <row r="50" spans="1:19" s="15" customFormat="1" ht="12.75">
      <c r="A50" s="14"/>
      <c r="B50" s="14"/>
      <c r="K50" s="14"/>
      <c r="L50" s="14"/>
      <c r="M50" s="14"/>
      <c r="N50" s="36" t="s">
        <v>87</v>
      </c>
      <c r="O50" s="36"/>
      <c r="P50" s="36"/>
      <c r="Q50" s="36"/>
      <c r="R50" s="36"/>
      <c r="S50" s="36"/>
    </row>
  </sheetData>
  <mergeCells count="13">
    <mergeCell ref="J49:S49"/>
    <mergeCell ref="C8:F8"/>
    <mergeCell ref="K8:N8"/>
    <mergeCell ref="G8:J8"/>
    <mergeCell ref="P47:S47"/>
    <mergeCell ref="K48:S48"/>
    <mergeCell ref="B4:T4"/>
    <mergeCell ref="A6:B6"/>
    <mergeCell ref="A8:A9"/>
    <mergeCell ref="B8:B9"/>
    <mergeCell ref="G1:M1"/>
    <mergeCell ref="E2:O2"/>
    <mergeCell ref="O8:R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1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32"/>
  <sheetViews>
    <sheetView view="pageBreakPreview" zoomScale="84" zoomScaleNormal="70" zoomScaleSheetLayoutView="84" workbookViewId="0">
      <selection activeCell="G37" sqref="G37"/>
    </sheetView>
  </sheetViews>
  <sheetFormatPr defaultRowHeight="15"/>
  <cols>
    <col min="1" max="1" width="7.28515625" style="77" customWidth="1"/>
    <col min="2" max="2" width="14.140625" style="77" customWidth="1"/>
    <col min="3" max="3" width="15.42578125" style="77" customWidth="1"/>
    <col min="4" max="4" width="14.85546875" style="77" customWidth="1"/>
    <col min="5" max="5" width="11.85546875" style="77" customWidth="1"/>
    <col min="6" max="6" width="9.85546875" style="77" customWidth="1"/>
    <col min="7" max="7" width="12.7109375" style="77" customWidth="1"/>
    <col min="8" max="9" width="11" style="77" customWidth="1"/>
    <col min="10" max="10" width="14.140625" style="77" customWidth="1"/>
    <col min="11" max="11" width="12.28515625" style="77" customWidth="1"/>
    <col min="12" max="12" width="13.140625" style="77" customWidth="1"/>
    <col min="13" max="13" width="9.7109375" style="77" customWidth="1"/>
    <col min="14" max="14" width="9.5703125" style="77" customWidth="1"/>
    <col min="15" max="15" width="12.7109375" style="77" customWidth="1"/>
    <col min="16" max="16" width="13.28515625" style="77" customWidth="1"/>
    <col min="17" max="17" width="11.28515625" style="77" customWidth="1"/>
    <col min="18" max="18" width="9.28515625" style="77" customWidth="1"/>
    <col min="19" max="19" width="9.140625" style="77"/>
    <col min="20" max="20" width="12.28515625" style="77" customWidth="1"/>
    <col min="21" max="16384" width="9.140625" style="77"/>
  </cols>
  <sheetData>
    <row r="1" spans="1:20" s="15" customFormat="1" ht="15.75">
      <c r="C1" s="45"/>
      <c r="D1" s="45"/>
      <c r="E1" s="45"/>
      <c r="F1" s="45"/>
      <c r="G1" s="45"/>
      <c r="H1" s="45"/>
      <c r="I1" s="114" t="s">
        <v>0</v>
      </c>
      <c r="J1" s="45"/>
      <c r="Q1" s="986" t="s">
        <v>542</v>
      </c>
      <c r="R1" s="986"/>
    </row>
    <row r="2" spans="1:20" s="15" customFormat="1" ht="20.25">
      <c r="G2" s="848" t="s">
        <v>705</v>
      </c>
      <c r="H2" s="848"/>
      <c r="I2" s="848"/>
      <c r="J2" s="848"/>
      <c r="K2" s="848"/>
      <c r="L2" s="848"/>
      <c r="M2" s="848"/>
      <c r="N2" s="44"/>
      <c r="O2" s="44"/>
      <c r="P2" s="44"/>
      <c r="Q2" s="44"/>
    </row>
    <row r="3" spans="1:20" s="15" customFormat="1" ht="20.25">
      <c r="G3" s="136"/>
      <c r="H3" s="136"/>
      <c r="I3" s="136"/>
      <c r="J3" s="136"/>
      <c r="K3" s="136"/>
      <c r="L3" s="136"/>
      <c r="M3" s="136"/>
      <c r="N3" s="44"/>
      <c r="O3" s="44"/>
      <c r="P3" s="44"/>
      <c r="Q3" s="44"/>
    </row>
    <row r="4" spans="1:20" ht="18">
      <c r="B4" s="1115" t="s">
        <v>718</v>
      </c>
      <c r="C4" s="1115"/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115"/>
      <c r="R4" s="1115"/>
      <c r="S4" s="1115"/>
      <c r="T4" s="1115"/>
    </row>
    <row r="5" spans="1:20" ht="15.75">
      <c r="C5" s="78"/>
      <c r="D5" s="7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20">
      <c r="A6" s="91" t="s">
        <v>1042</v>
      </c>
    </row>
    <row r="7" spans="1:20">
      <c r="B7" s="80"/>
      <c r="Q7" s="123" t="s">
        <v>142</v>
      </c>
    </row>
    <row r="8" spans="1:20" s="81" customFormat="1" ht="32.450000000000003" customHeight="1">
      <c r="A8" s="844" t="s">
        <v>2</v>
      </c>
      <c r="B8" s="1107" t="s">
        <v>3</v>
      </c>
      <c r="C8" s="1112" t="s">
        <v>455</v>
      </c>
      <c r="D8" s="1112"/>
      <c r="E8" s="1112"/>
      <c r="F8" s="1112"/>
      <c r="G8" s="1112" t="s">
        <v>456</v>
      </c>
      <c r="H8" s="1112"/>
      <c r="I8" s="1112"/>
      <c r="J8" s="1112"/>
      <c r="K8" s="1112" t="s">
        <v>457</v>
      </c>
      <c r="L8" s="1112"/>
      <c r="M8" s="1112"/>
      <c r="N8" s="1112"/>
      <c r="O8" s="1112" t="s">
        <v>458</v>
      </c>
      <c r="P8" s="1112"/>
      <c r="Q8" s="1112"/>
      <c r="R8" s="1107"/>
      <c r="S8" s="1114" t="s">
        <v>165</v>
      </c>
    </row>
    <row r="9" spans="1:20" s="82" customFormat="1" ht="75" customHeight="1">
      <c r="A9" s="844"/>
      <c r="B9" s="1108"/>
      <c r="C9" s="90" t="s">
        <v>162</v>
      </c>
      <c r="D9" s="141" t="s">
        <v>164</v>
      </c>
      <c r="E9" s="90" t="s">
        <v>141</v>
      </c>
      <c r="F9" s="141" t="s">
        <v>163</v>
      </c>
      <c r="G9" s="90" t="s">
        <v>244</v>
      </c>
      <c r="H9" s="141" t="s">
        <v>164</v>
      </c>
      <c r="I9" s="90" t="s">
        <v>141</v>
      </c>
      <c r="J9" s="141" t="s">
        <v>163</v>
      </c>
      <c r="K9" s="90" t="s">
        <v>244</v>
      </c>
      <c r="L9" s="141" t="s">
        <v>164</v>
      </c>
      <c r="M9" s="90" t="s">
        <v>141</v>
      </c>
      <c r="N9" s="141" t="s">
        <v>163</v>
      </c>
      <c r="O9" s="90" t="s">
        <v>244</v>
      </c>
      <c r="P9" s="141" t="s">
        <v>164</v>
      </c>
      <c r="Q9" s="90" t="s">
        <v>141</v>
      </c>
      <c r="R9" s="142" t="s">
        <v>163</v>
      </c>
      <c r="S9" s="1114"/>
    </row>
    <row r="10" spans="1:20" s="82" customFormat="1" ht="16.149999999999999" customHeight="1">
      <c r="A10" s="5">
        <v>1</v>
      </c>
      <c r="B10" s="89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132">
        <v>18</v>
      </c>
      <c r="S10" s="140">
        <v>19</v>
      </c>
    </row>
    <row r="11" spans="1:20" s="82" customFormat="1" ht="16.149999999999999" customHeight="1">
      <c r="A11" s="5">
        <v>1</v>
      </c>
      <c r="B11" s="89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132"/>
      <c r="S11" s="140"/>
    </row>
    <row r="12" spans="1:20" s="82" customFormat="1" ht="16.149999999999999" customHeight="1">
      <c r="A12" s="5">
        <v>2</v>
      </c>
      <c r="B12" s="89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132"/>
      <c r="S12" s="140"/>
    </row>
    <row r="13" spans="1:20" s="82" customFormat="1" ht="16.149999999999999" customHeight="1">
      <c r="A13" s="5">
        <v>3</v>
      </c>
      <c r="B13" s="89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132"/>
      <c r="S13" s="140"/>
    </row>
    <row r="14" spans="1:20" s="82" customFormat="1" ht="16.149999999999999" customHeight="1">
      <c r="A14" s="5">
        <v>4</v>
      </c>
      <c r="B14" s="89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132"/>
      <c r="S14" s="140"/>
    </row>
    <row r="15" spans="1:20" s="82" customFormat="1" ht="16.149999999999999" customHeight="1">
      <c r="A15" s="5">
        <v>5</v>
      </c>
      <c r="B15" s="89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132"/>
      <c r="S15" s="140"/>
    </row>
    <row r="16" spans="1:20" s="82" customFormat="1" ht="16.149999999999999" customHeight="1">
      <c r="A16" s="5">
        <v>6</v>
      </c>
      <c r="B16" s="89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132"/>
      <c r="S16" s="140"/>
    </row>
    <row r="17" spans="1:45" s="82" customFormat="1" ht="16.149999999999999" customHeight="1">
      <c r="A17" s="5">
        <v>7</v>
      </c>
      <c r="B17" s="89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132"/>
      <c r="S17" s="140"/>
    </row>
    <row r="18" spans="1:45">
      <c r="A18" s="5">
        <v>8</v>
      </c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45">
      <c r="A19" s="5">
        <v>9</v>
      </c>
      <c r="B19" s="85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45">
      <c r="A20" s="5">
        <v>10</v>
      </c>
      <c r="B20" s="85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45">
      <c r="A21" s="5">
        <v>11</v>
      </c>
      <c r="B21" s="8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45" s="84" customFormat="1">
      <c r="A22" s="5">
        <v>12</v>
      </c>
      <c r="B22" s="85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</row>
    <row r="23" spans="1:45">
      <c r="A23" s="5">
        <v>13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45">
      <c r="A24" s="5">
        <v>14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45">
      <c r="A25" s="124" t="s">
        <v>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45">
      <c r="A26" s="124" t="s">
        <v>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45">
      <c r="A27" s="309" t="s">
        <v>19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45">
      <c r="A28" s="311" t="s">
        <v>492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1:45" s="15" customFormat="1" ht="12.75">
      <c r="A29" s="14" t="s">
        <v>12</v>
      </c>
      <c r="G29" s="14"/>
      <c r="H29" s="14"/>
      <c r="K29" s="14"/>
      <c r="L29" s="14"/>
      <c r="M29" s="14"/>
      <c r="N29" s="14"/>
      <c r="O29" s="14"/>
      <c r="P29" s="14"/>
      <c r="Q29" s="14"/>
      <c r="R29" s="866" t="s">
        <v>13</v>
      </c>
      <c r="S29" s="866"/>
    </row>
    <row r="30" spans="1:45" s="15" customFormat="1" ht="12.75" customHeight="1">
      <c r="J30" s="14"/>
      <c r="K30" s="990" t="s">
        <v>14</v>
      </c>
      <c r="L30" s="990"/>
      <c r="M30" s="990"/>
      <c r="N30" s="990"/>
      <c r="O30" s="990"/>
      <c r="P30" s="990"/>
      <c r="Q30" s="990"/>
      <c r="R30" s="990"/>
      <c r="S30" s="990"/>
    </row>
    <row r="31" spans="1:45" s="15" customFormat="1" ht="12.75" customHeight="1">
      <c r="J31" s="990" t="s">
        <v>90</v>
      </c>
      <c r="K31" s="990"/>
      <c r="L31" s="990"/>
      <c r="M31" s="990"/>
      <c r="N31" s="990"/>
      <c r="O31" s="990"/>
      <c r="P31" s="990"/>
      <c r="Q31" s="990"/>
      <c r="R31" s="990"/>
      <c r="S31" s="990"/>
    </row>
    <row r="32" spans="1:45" s="15" customFormat="1" ht="12.75">
      <c r="A32" s="14"/>
      <c r="B32" s="14"/>
      <c r="K32" s="14"/>
      <c r="L32" s="14"/>
      <c r="M32" s="14"/>
      <c r="N32" s="14"/>
      <c r="O32" s="14"/>
      <c r="P32" s="14"/>
      <c r="Q32" s="850" t="s">
        <v>87</v>
      </c>
      <c r="R32" s="850"/>
      <c r="S32" s="850"/>
    </row>
  </sheetData>
  <mergeCells count="14">
    <mergeCell ref="Q1:R1"/>
    <mergeCell ref="B4:T4"/>
    <mergeCell ref="R29:S29"/>
    <mergeCell ref="K30:S30"/>
    <mergeCell ref="G2:M2"/>
    <mergeCell ref="Q32:S32"/>
    <mergeCell ref="J31:S31"/>
    <mergeCell ref="S8:S9"/>
    <mergeCell ref="O8:R8"/>
    <mergeCell ref="A8:A9"/>
    <mergeCell ref="B8:B9"/>
    <mergeCell ref="C8:F8"/>
    <mergeCell ref="G8:J8"/>
    <mergeCell ref="K8:N8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0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G37"/>
  <sheetViews>
    <sheetView view="pageBreakPreview" zoomScaleNormal="80" zoomScaleSheetLayoutView="100" workbookViewId="0">
      <selection activeCell="I39" sqref="I39"/>
    </sheetView>
  </sheetViews>
  <sheetFormatPr defaultRowHeight="15"/>
  <cols>
    <col min="1" max="1" width="9.140625" style="77"/>
    <col min="2" max="2" width="25.140625" style="77" customWidth="1"/>
    <col min="3" max="3" width="17.5703125" style="77" customWidth="1"/>
    <col min="4" max="4" width="19.7109375" style="77" customWidth="1"/>
    <col min="5" max="5" width="18.140625" style="77" customWidth="1"/>
    <col min="6" max="6" width="15.42578125" style="77" customWidth="1"/>
    <col min="7" max="7" width="17.5703125" style="77" customWidth="1"/>
    <col min="8" max="8" width="12.28515625" style="77" customWidth="1"/>
    <col min="9" max="16384" width="9.140625" style="77"/>
  </cols>
  <sheetData>
    <row r="1" spans="1:9" s="15" customFormat="1">
      <c r="C1" s="45"/>
      <c r="D1" s="45"/>
      <c r="E1" s="45"/>
      <c r="F1" s="986" t="s">
        <v>834</v>
      </c>
      <c r="G1" s="986"/>
    </row>
    <row r="2" spans="1:9" s="15" customFormat="1" ht="30.75" customHeight="1">
      <c r="B2" s="848" t="s">
        <v>705</v>
      </c>
      <c r="C2" s="848"/>
      <c r="D2" s="848"/>
      <c r="E2" s="848"/>
      <c r="F2" s="848"/>
      <c r="G2" s="44"/>
      <c r="H2" s="44"/>
      <c r="I2" s="44"/>
    </row>
    <row r="3" spans="1:9" s="15" customFormat="1" ht="20.25">
      <c r="G3" s="136"/>
    </row>
    <row r="4" spans="1:9" ht="18">
      <c r="B4" s="1106" t="s">
        <v>840</v>
      </c>
      <c r="C4" s="1106"/>
      <c r="D4" s="1106"/>
      <c r="E4" s="1106"/>
      <c r="F4" s="1106"/>
      <c r="G4" s="1106"/>
      <c r="H4" s="1106"/>
    </row>
    <row r="5" spans="1:9" ht="15.75">
      <c r="C5" s="78"/>
      <c r="D5" s="79"/>
      <c r="E5" s="78"/>
      <c r="F5" s="78"/>
      <c r="G5" s="78"/>
      <c r="H5" s="78"/>
    </row>
    <row r="6" spans="1:9">
      <c r="A6" s="91" t="s">
        <v>1042</v>
      </c>
    </row>
    <row r="7" spans="1:9">
      <c r="B7" s="353"/>
    </row>
    <row r="8" spans="1:9" s="82" customFormat="1" ht="30.75" customHeight="1">
      <c r="A8" s="1116" t="s">
        <v>2</v>
      </c>
      <c r="B8" s="1117" t="s">
        <v>3</v>
      </c>
      <c r="C8" s="1117" t="s">
        <v>860</v>
      </c>
      <c r="D8" s="1118" t="s">
        <v>861</v>
      </c>
      <c r="E8" s="1117" t="s">
        <v>833</v>
      </c>
      <c r="F8" s="1117"/>
      <c r="G8" s="1117"/>
    </row>
    <row r="9" spans="1:9" s="82" customFormat="1" ht="48.75" customHeight="1">
      <c r="A9" s="1116"/>
      <c r="B9" s="1117"/>
      <c r="C9" s="1117"/>
      <c r="D9" s="1119"/>
      <c r="E9" s="355" t="s">
        <v>841</v>
      </c>
      <c r="F9" s="355" t="s">
        <v>832</v>
      </c>
      <c r="G9" s="355" t="s">
        <v>19</v>
      </c>
    </row>
    <row r="10" spans="1:9" s="82" customFormat="1" ht="16.149999999999999" customHeight="1">
      <c r="A10" s="67">
        <v>1</v>
      </c>
      <c r="B10" s="369">
        <v>2</v>
      </c>
      <c r="C10" s="369">
        <v>3</v>
      </c>
      <c r="D10" s="369">
        <v>4</v>
      </c>
      <c r="E10" s="371">
        <v>5</v>
      </c>
      <c r="F10" s="371">
        <v>6</v>
      </c>
      <c r="G10" s="371">
        <v>7</v>
      </c>
    </row>
    <row r="11" spans="1:9" s="82" customFormat="1" ht="16.149999999999999" customHeight="1">
      <c r="A11" s="5">
        <v>1</v>
      </c>
      <c r="B11" s="90"/>
      <c r="C11" s="76"/>
      <c r="D11" s="76"/>
      <c r="E11" s="76"/>
      <c r="F11" s="76"/>
      <c r="G11" s="76"/>
    </row>
    <row r="12" spans="1:9" s="82" customFormat="1" ht="16.149999999999999" customHeight="1">
      <c r="A12" s="5">
        <v>2</v>
      </c>
      <c r="B12" s="90"/>
      <c r="C12" s="76"/>
      <c r="D12" s="76"/>
      <c r="E12" s="76"/>
      <c r="F12" s="76"/>
      <c r="G12" s="76"/>
    </row>
    <row r="13" spans="1:9" s="82" customFormat="1" ht="16.149999999999999" customHeight="1">
      <c r="A13" s="5">
        <v>3</v>
      </c>
      <c r="B13" s="90"/>
      <c r="C13" s="76"/>
      <c r="D13" s="76"/>
      <c r="E13" s="76"/>
      <c r="F13" s="76"/>
      <c r="G13" s="76"/>
    </row>
    <row r="14" spans="1:9" s="82" customFormat="1" ht="16.149999999999999" customHeight="1">
      <c r="A14" s="5">
        <v>4</v>
      </c>
      <c r="B14" s="90"/>
      <c r="C14" s="76"/>
      <c r="D14" s="76"/>
      <c r="E14" s="76"/>
      <c r="F14" s="76"/>
      <c r="G14" s="76"/>
    </row>
    <row r="15" spans="1:9" s="82" customFormat="1" ht="16.149999999999999" customHeight="1">
      <c r="A15" s="5">
        <v>5</v>
      </c>
      <c r="B15" s="90"/>
      <c r="C15" s="76"/>
      <c r="D15" s="76"/>
      <c r="E15" s="76"/>
      <c r="F15" s="76"/>
      <c r="G15" s="76"/>
    </row>
    <row r="16" spans="1:9" s="82" customFormat="1" ht="16.149999999999999" customHeight="1">
      <c r="A16" s="5">
        <v>6</v>
      </c>
      <c r="B16" s="90"/>
      <c r="C16" s="76"/>
      <c r="D16" s="76"/>
      <c r="E16" s="76"/>
      <c r="F16" s="76"/>
      <c r="G16" s="76"/>
    </row>
    <row r="17" spans="1:33" s="82" customFormat="1" ht="16.149999999999999" customHeight="1">
      <c r="A17" s="5">
        <v>7</v>
      </c>
      <c r="B17" s="89"/>
      <c r="C17" s="76"/>
      <c r="D17" s="76"/>
      <c r="E17" s="76"/>
      <c r="F17" s="76"/>
      <c r="G17" s="76"/>
    </row>
    <row r="18" spans="1:33">
      <c r="A18" s="5">
        <v>8</v>
      </c>
      <c r="B18" s="83"/>
      <c r="C18" s="84"/>
      <c r="D18" s="84"/>
      <c r="E18" s="84"/>
      <c r="F18" s="84"/>
      <c r="G18" s="84"/>
    </row>
    <row r="19" spans="1:33">
      <c r="A19" s="5">
        <v>9</v>
      </c>
      <c r="B19" s="85"/>
      <c r="C19" s="84"/>
      <c r="D19" s="84"/>
      <c r="E19" s="84"/>
      <c r="F19" s="84"/>
      <c r="G19" s="84"/>
    </row>
    <row r="20" spans="1:33">
      <c r="A20" s="5">
        <v>10</v>
      </c>
      <c r="B20" s="85"/>
      <c r="C20" s="84"/>
      <c r="D20" s="84"/>
      <c r="E20" s="84"/>
      <c r="F20" s="84"/>
      <c r="G20" s="84"/>
    </row>
    <row r="21" spans="1:33">
      <c r="A21" s="5">
        <v>11</v>
      </c>
      <c r="B21" s="85"/>
      <c r="C21" s="84"/>
      <c r="D21" s="84"/>
      <c r="E21" s="84"/>
      <c r="F21" s="84"/>
      <c r="G21" s="84"/>
    </row>
    <row r="22" spans="1:33" s="84" customFormat="1">
      <c r="A22" s="5">
        <v>12</v>
      </c>
      <c r="B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</row>
    <row r="23" spans="1:33">
      <c r="A23" s="5">
        <v>13</v>
      </c>
      <c r="B23" s="84"/>
      <c r="C23" s="84"/>
      <c r="D23" s="84"/>
      <c r="E23" s="84"/>
      <c r="F23" s="84"/>
      <c r="G23" s="84"/>
    </row>
    <row r="24" spans="1:33">
      <c r="A24" s="5">
        <v>14</v>
      </c>
      <c r="B24" s="84"/>
      <c r="C24" s="84"/>
      <c r="D24" s="84"/>
      <c r="E24" s="84"/>
      <c r="F24" s="84"/>
      <c r="G24" s="84"/>
    </row>
    <row r="25" spans="1:33">
      <c r="A25" s="539"/>
      <c r="B25" s="84"/>
      <c r="C25" s="84"/>
      <c r="D25" s="84"/>
      <c r="E25" s="84"/>
      <c r="F25" s="84"/>
      <c r="G25" s="84"/>
    </row>
    <row r="26" spans="1:33">
      <c r="A26" s="539"/>
      <c r="B26" s="84"/>
      <c r="C26" s="84"/>
      <c r="D26" s="84"/>
      <c r="E26" s="84"/>
      <c r="F26" s="84"/>
      <c r="G26" s="84"/>
    </row>
    <row r="27" spans="1:33">
      <c r="A27" s="539"/>
      <c r="B27" s="84"/>
      <c r="C27" s="84"/>
      <c r="D27" s="84"/>
      <c r="E27" s="84"/>
      <c r="F27" s="84"/>
      <c r="G27" s="84"/>
    </row>
    <row r="28" spans="1:33">
      <c r="A28" s="124" t="s">
        <v>7</v>
      </c>
      <c r="B28" s="84"/>
      <c r="C28" s="84"/>
      <c r="D28" s="84"/>
      <c r="E28" s="84"/>
      <c r="F28" s="84"/>
      <c r="G28" s="84"/>
    </row>
    <row r="29" spans="1:33">
      <c r="A29" s="124" t="s">
        <v>7</v>
      </c>
      <c r="B29" s="84"/>
      <c r="C29" s="84"/>
      <c r="D29" s="84"/>
      <c r="E29" s="84"/>
      <c r="F29" s="84"/>
      <c r="G29" s="84"/>
    </row>
    <row r="30" spans="1:33">
      <c r="A30" s="309" t="s">
        <v>19</v>
      </c>
      <c r="B30" s="84"/>
      <c r="C30" s="84"/>
      <c r="D30" s="84"/>
      <c r="E30" s="84"/>
      <c r="F30" s="84"/>
      <c r="G30" s="84"/>
    </row>
    <row r="31" spans="1:33">
      <c r="A31" s="311"/>
      <c r="B31" s="86"/>
      <c r="C31" s="86"/>
      <c r="D31" s="86"/>
      <c r="E31" s="86"/>
      <c r="F31" s="86"/>
      <c r="G31" s="86"/>
    </row>
    <row r="32" spans="1:33" s="15" customFormat="1" ht="12.75" customHeight="1">
      <c r="A32" s="14" t="s">
        <v>12</v>
      </c>
      <c r="G32" s="14"/>
    </row>
    <row r="33" spans="1:10" s="15" customFormat="1" ht="12.75">
      <c r="A33" s="14"/>
      <c r="B33" s="14"/>
    </row>
    <row r="34" spans="1:10">
      <c r="F34" s="866" t="s">
        <v>13</v>
      </c>
      <c r="G34" s="866"/>
    </row>
    <row r="35" spans="1:10">
      <c r="A35" s="14"/>
      <c r="C35" s="36"/>
      <c r="D35" s="36"/>
      <c r="E35" s="36" t="s">
        <v>14</v>
      </c>
      <c r="F35" s="36"/>
      <c r="G35" s="36"/>
      <c r="H35" s="36"/>
      <c r="I35" s="36"/>
      <c r="J35" s="36"/>
    </row>
    <row r="36" spans="1:10">
      <c r="B36" s="36"/>
      <c r="C36" s="36"/>
      <c r="D36" s="36"/>
      <c r="E36" s="36" t="s">
        <v>90</v>
      </c>
      <c r="F36" s="36"/>
      <c r="G36" s="36"/>
      <c r="H36" s="36"/>
      <c r="I36" s="36"/>
      <c r="J36" s="36"/>
    </row>
    <row r="37" spans="1:10" ht="2.25" customHeight="1">
      <c r="A37" s="15"/>
      <c r="B37" s="14"/>
      <c r="C37" s="14"/>
      <c r="D37" s="14"/>
      <c r="E37" s="850" t="s">
        <v>87</v>
      </c>
      <c r="F37" s="850"/>
      <c r="G37" s="850"/>
    </row>
  </sheetData>
  <mergeCells count="10">
    <mergeCell ref="B2:F2"/>
    <mergeCell ref="F1:G1"/>
    <mergeCell ref="E37:G37"/>
    <mergeCell ref="F34:G34"/>
    <mergeCell ref="E8:G8"/>
    <mergeCell ref="A8:A9"/>
    <mergeCell ref="B8:B9"/>
    <mergeCell ref="C8:C9"/>
    <mergeCell ref="D8:D9"/>
    <mergeCell ref="B4:H4"/>
  </mergeCells>
  <printOptions horizontalCentered="1"/>
  <pageMargins left="0.70866141732283472" right="0.70866141732283472" top="0.23622047244094491" bottom="0" header="0.31496062992125984" footer="0.31496062992125984"/>
  <pageSetup paperSize="9" scale="94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X38"/>
  <sheetViews>
    <sheetView view="pageBreakPreview" zoomScale="90" zoomScaleNormal="90" zoomScaleSheetLayoutView="90" workbookViewId="0">
      <selection activeCell="K14" sqref="K14"/>
    </sheetView>
  </sheetViews>
  <sheetFormatPr defaultRowHeight="15"/>
  <cols>
    <col min="1" max="1" width="9.140625" style="77"/>
    <col min="2" max="2" width="11.28515625" style="77" customWidth="1"/>
    <col min="3" max="3" width="9.7109375" style="77" customWidth="1"/>
    <col min="4" max="4" width="8.140625" style="77" customWidth="1"/>
    <col min="5" max="5" width="7.42578125" style="77" customWidth="1"/>
    <col min="6" max="6" width="9.140625" style="77" customWidth="1"/>
    <col min="7" max="7" width="9.5703125" style="77" customWidth="1"/>
    <col min="8" max="8" width="8.140625" style="77" customWidth="1"/>
    <col min="9" max="9" width="6.85546875" style="77" customWidth="1"/>
    <col min="10" max="10" width="9.28515625" style="77" customWidth="1"/>
    <col min="11" max="11" width="10.5703125" style="77" customWidth="1"/>
    <col min="12" max="12" width="8.7109375" style="77" customWidth="1"/>
    <col min="13" max="13" width="7.42578125" style="77" customWidth="1"/>
    <col min="14" max="14" width="8.5703125" style="77" customWidth="1"/>
    <col min="15" max="15" width="8.7109375" style="77" customWidth="1"/>
    <col min="16" max="16" width="8.5703125" style="77" customWidth="1"/>
    <col min="17" max="17" width="7.85546875" style="77" customWidth="1"/>
    <col min="18" max="18" width="8.5703125" style="77" customWidth="1"/>
    <col min="19" max="20" width="10.5703125" style="77" customWidth="1"/>
    <col min="21" max="21" width="11.140625" style="77" customWidth="1"/>
    <col min="22" max="22" width="10.7109375" style="77" bestFit="1" customWidth="1"/>
    <col min="23" max="16384" width="9.140625" style="77"/>
  </cols>
  <sheetData>
    <row r="1" spans="1:24" s="15" customFormat="1" ht="15.75">
      <c r="C1" s="45"/>
      <c r="D1" s="45"/>
      <c r="E1" s="45"/>
      <c r="F1" s="45"/>
      <c r="G1" s="45"/>
      <c r="H1" s="45"/>
      <c r="I1" s="114" t="s">
        <v>0</v>
      </c>
      <c r="J1" s="114"/>
      <c r="S1" s="41"/>
      <c r="T1" s="41"/>
      <c r="U1" s="926" t="s">
        <v>543</v>
      </c>
      <c r="V1" s="926"/>
      <c r="W1" s="43"/>
      <c r="X1" s="43"/>
    </row>
    <row r="2" spans="1:24" s="15" customFormat="1" ht="20.25">
      <c r="E2" s="848" t="s">
        <v>705</v>
      </c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</row>
    <row r="3" spans="1:24" s="15" customFormat="1" ht="20.25">
      <c r="H3" s="44"/>
      <c r="I3" s="44"/>
      <c r="J3" s="44"/>
      <c r="K3" s="44"/>
      <c r="L3" s="44"/>
      <c r="M3" s="44"/>
      <c r="N3" s="44"/>
      <c r="O3" s="44"/>
      <c r="P3" s="44"/>
    </row>
    <row r="4" spans="1:24" ht="15.75">
      <c r="C4" s="849" t="s">
        <v>822</v>
      </c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47"/>
      <c r="S4" s="121"/>
      <c r="T4" s="121"/>
      <c r="U4" s="121"/>
      <c r="V4" s="121"/>
      <c r="W4" s="114"/>
    </row>
    <row r="5" spans="1:24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24">
      <c r="A6" s="81" t="s">
        <v>922</v>
      </c>
      <c r="B6" s="91"/>
    </row>
    <row r="7" spans="1:24">
      <c r="B7" s="353"/>
    </row>
    <row r="8" spans="1:24" s="81" customFormat="1" ht="24.75" customHeight="1">
      <c r="A8" s="844" t="s">
        <v>2</v>
      </c>
      <c r="B8" s="1112" t="s">
        <v>3</v>
      </c>
      <c r="C8" s="1109" t="s">
        <v>823</v>
      </c>
      <c r="D8" s="1110"/>
      <c r="E8" s="1110"/>
      <c r="F8" s="1110"/>
      <c r="G8" s="1109" t="s">
        <v>827</v>
      </c>
      <c r="H8" s="1110"/>
      <c r="I8" s="1110"/>
      <c r="J8" s="1110"/>
      <c r="K8" s="1109" t="s">
        <v>828</v>
      </c>
      <c r="L8" s="1110"/>
      <c r="M8" s="1110"/>
      <c r="N8" s="1110"/>
      <c r="O8" s="1109" t="s">
        <v>829</v>
      </c>
      <c r="P8" s="1110"/>
      <c r="Q8" s="1110"/>
      <c r="R8" s="1110"/>
      <c r="S8" s="1125" t="s">
        <v>19</v>
      </c>
      <c r="T8" s="1126"/>
      <c r="U8" s="1126"/>
      <c r="V8" s="1126"/>
    </row>
    <row r="9" spans="1:24" s="82" customFormat="1" ht="29.25" customHeight="1">
      <c r="A9" s="844"/>
      <c r="B9" s="1112"/>
      <c r="C9" s="1120" t="s">
        <v>824</v>
      </c>
      <c r="D9" s="1122" t="s">
        <v>826</v>
      </c>
      <c r="E9" s="1123"/>
      <c r="F9" s="1124"/>
      <c r="G9" s="1120" t="s">
        <v>824</v>
      </c>
      <c r="H9" s="1122" t="s">
        <v>826</v>
      </c>
      <c r="I9" s="1123"/>
      <c r="J9" s="1124"/>
      <c r="K9" s="1120" t="s">
        <v>824</v>
      </c>
      <c r="L9" s="1122" t="s">
        <v>826</v>
      </c>
      <c r="M9" s="1123"/>
      <c r="N9" s="1124"/>
      <c r="O9" s="1120" t="s">
        <v>824</v>
      </c>
      <c r="P9" s="1122" t="s">
        <v>826</v>
      </c>
      <c r="Q9" s="1123"/>
      <c r="R9" s="1124"/>
      <c r="S9" s="1120" t="s">
        <v>824</v>
      </c>
      <c r="T9" s="1122" t="s">
        <v>826</v>
      </c>
      <c r="U9" s="1123"/>
      <c r="V9" s="1124"/>
    </row>
    <row r="10" spans="1:24" s="82" customFormat="1" ht="46.5" customHeight="1">
      <c r="A10" s="844"/>
      <c r="B10" s="1112"/>
      <c r="C10" s="1121"/>
      <c r="D10" s="76" t="s">
        <v>825</v>
      </c>
      <c r="E10" s="76" t="s">
        <v>206</v>
      </c>
      <c r="F10" s="76" t="s">
        <v>19</v>
      </c>
      <c r="G10" s="1121"/>
      <c r="H10" s="76" t="s">
        <v>825</v>
      </c>
      <c r="I10" s="76" t="s">
        <v>206</v>
      </c>
      <c r="J10" s="76" t="s">
        <v>19</v>
      </c>
      <c r="K10" s="1121"/>
      <c r="L10" s="76" t="s">
        <v>825</v>
      </c>
      <c r="M10" s="76" t="s">
        <v>206</v>
      </c>
      <c r="N10" s="76" t="s">
        <v>19</v>
      </c>
      <c r="O10" s="1121"/>
      <c r="P10" s="76" t="s">
        <v>825</v>
      </c>
      <c r="Q10" s="76" t="s">
        <v>206</v>
      </c>
      <c r="R10" s="76" t="s">
        <v>19</v>
      </c>
      <c r="S10" s="1121"/>
      <c r="T10" s="76" t="s">
        <v>825</v>
      </c>
      <c r="U10" s="76" t="s">
        <v>206</v>
      </c>
      <c r="V10" s="76" t="s">
        <v>19</v>
      </c>
    </row>
    <row r="11" spans="1:24" s="165" customFormat="1" ht="16.149999999999999" customHeight="1">
      <c r="A11" s="354">
        <v>1</v>
      </c>
      <c r="B11" s="164">
        <v>2</v>
      </c>
      <c r="C11" s="164">
        <v>3</v>
      </c>
      <c r="D11" s="354">
        <v>4</v>
      </c>
      <c r="E11" s="164">
        <v>5</v>
      </c>
      <c r="F11" s="164">
        <v>6</v>
      </c>
      <c r="G11" s="354">
        <v>7</v>
      </c>
      <c r="H11" s="164">
        <v>8</v>
      </c>
      <c r="I11" s="164">
        <v>9</v>
      </c>
      <c r="J11" s="354">
        <v>10</v>
      </c>
      <c r="K11" s="164">
        <v>11</v>
      </c>
      <c r="L11" s="164">
        <v>12</v>
      </c>
      <c r="M11" s="354">
        <v>13</v>
      </c>
      <c r="N11" s="164">
        <v>14</v>
      </c>
      <c r="O11" s="164">
        <v>15</v>
      </c>
      <c r="P11" s="354">
        <v>16</v>
      </c>
      <c r="Q11" s="164">
        <v>17</v>
      </c>
      <c r="R11" s="164">
        <v>18</v>
      </c>
      <c r="S11" s="354">
        <v>19</v>
      </c>
      <c r="T11" s="164">
        <v>20</v>
      </c>
      <c r="U11" s="164">
        <v>21</v>
      </c>
      <c r="V11" s="354">
        <v>22</v>
      </c>
    </row>
    <row r="12" spans="1:24">
      <c r="A12" s="124">
        <v>1</v>
      </c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</row>
    <row r="13" spans="1:24">
      <c r="A13" s="124">
        <v>2</v>
      </c>
      <c r="B13" s="85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</row>
    <row r="14" spans="1:24">
      <c r="A14" s="124">
        <v>3</v>
      </c>
      <c r="B14" s="8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</row>
    <row r="15" spans="1:24">
      <c r="A15" s="124">
        <v>4</v>
      </c>
      <c r="B15" s="85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1:24">
      <c r="A16" s="124">
        <v>5</v>
      </c>
      <c r="B16" s="85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2">
      <c r="A17" s="124">
        <v>6</v>
      </c>
      <c r="B17" s="85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22">
      <c r="A18" s="124">
        <v>7</v>
      </c>
      <c r="B18" s="85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>
      <c r="A19" s="124">
        <v>8</v>
      </c>
      <c r="B19" s="85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>
      <c r="A20" s="124">
        <v>9</v>
      </c>
      <c r="B20" s="85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1:22">
      <c r="A21" s="124">
        <v>10</v>
      </c>
      <c r="B21" s="8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1:22">
      <c r="A22" s="124">
        <v>11</v>
      </c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1:22">
      <c r="A23" s="124">
        <v>12</v>
      </c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>
      <c r="A24" s="124">
        <v>13</v>
      </c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>
      <c r="A25" s="124">
        <v>14</v>
      </c>
      <c r="B25" s="85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22">
      <c r="A26" s="124">
        <v>15</v>
      </c>
      <c r="B26" s="85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1:22">
      <c r="A27" s="124">
        <v>16</v>
      </c>
      <c r="B27" s="85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1:22">
      <c r="A28" s="124">
        <v>17</v>
      </c>
      <c r="B28" s="85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22">
      <c r="A29" s="124">
        <v>18</v>
      </c>
      <c r="B29" s="85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</row>
    <row r="30" spans="1:22">
      <c r="A30" s="124">
        <v>19</v>
      </c>
      <c r="B30" s="85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1:22">
      <c r="A31" s="124">
        <v>20</v>
      </c>
      <c r="B31" s="85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</row>
    <row r="32" spans="1:22">
      <c r="A32" s="124">
        <v>21</v>
      </c>
      <c r="B32" s="85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</row>
    <row r="33" spans="1:22">
      <c r="A33" s="312" t="s">
        <v>19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</row>
    <row r="35" spans="1:22" s="15" customFormat="1" ht="12.75">
      <c r="A35" s="14" t="s">
        <v>12</v>
      </c>
      <c r="G35" s="14"/>
      <c r="H35" s="14"/>
      <c r="K35" s="14"/>
      <c r="L35" s="14"/>
      <c r="M35" s="14"/>
      <c r="N35" s="14"/>
      <c r="O35" s="14"/>
      <c r="P35" s="14"/>
      <c r="Q35" s="14"/>
      <c r="R35" s="14"/>
      <c r="S35" s="88"/>
      <c r="T35" s="866" t="s">
        <v>13</v>
      </c>
      <c r="U35" s="866"/>
      <c r="V35" s="88"/>
    </row>
    <row r="36" spans="1:22" s="15" customFormat="1" ht="12.75" customHeight="1">
      <c r="K36" s="990" t="s">
        <v>14</v>
      </c>
      <c r="L36" s="990"/>
      <c r="M36" s="990"/>
      <c r="N36" s="990"/>
      <c r="O36" s="990"/>
      <c r="P36" s="990"/>
      <c r="Q36" s="990"/>
      <c r="R36" s="990"/>
      <c r="S36" s="990"/>
      <c r="T36" s="990"/>
      <c r="U36" s="990"/>
      <c r="V36" s="990"/>
    </row>
    <row r="37" spans="1:22" s="15" customFormat="1" ht="12.75" customHeight="1">
      <c r="J37" s="990" t="s">
        <v>90</v>
      </c>
      <c r="K37" s="990"/>
      <c r="L37" s="990"/>
      <c r="M37" s="990"/>
      <c r="N37" s="990"/>
      <c r="O37" s="990"/>
      <c r="P37" s="990"/>
      <c r="Q37" s="990"/>
      <c r="R37" s="990"/>
      <c r="S37" s="990"/>
      <c r="T37" s="990"/>
      <c r="U37" s="990"/>
      <c r="V37" s="990"/>
    </row>
    <row r="38" spans="1:22" s="15" customFormat="1" ht="12.75">
      <c r="A38" s="14"/>
      <c r="B38" s="14"/>
      <c r="K38" s="14"/>
      <c r="L38" s="14"/>
      <c r="M38" s="14"/>
      <c r="N38" s="14"/>
      <c r="O38" s="14"/>
      <c r="P38" s="14"/>
      <c r="Q38" s="851" t="s">
        <v>87</v>
      </c>
      <c r="R38" s="851"/>
      <c r="S38" s="851"/>
      <c r="T38" s="851"/>
      <c r="U38" s="851"/>
      <c r="V38" s="851"/>
    </row>
  </sheetData>
  <mergeCells count="24">
    <mergeCell ref="U1:V1"/>
    <mergeCell ref="E2:P2"/>
    <mergeCell ref="C4:Q4"/>
    <mergeCell ref="A8:A10"/>
    <mergeCell ref="B8:B10"/>
    <mergeCell ref="C8:F8"/>
    <mergeCell ref="G8:J8"/>
    <mergeCell ref="K8:N8"/>
    <mergeCell ref="O8:R8"/>
    <mergeCell ref="S8:V8"/>
    <mergeCell ref="C9:C10"/>
    <mergeCell ref="D9:F9"/>
    <mergeCell ref="G9:G10"/>
    <mergeCell ref="H9:J9"/>
    <mergeCell ref="K9:K10"/>
    <mergeCell ref="L9:N9"/>
    <mergeCell ref="Q38:V38"/>
    <mergeCell ref="O9:O10"/>
    <mergeCell ref="P9:R9"/>
    <mergeCell ref="S9:S10"/>
    <mergeCell ref="T9:V9"/>
    <mergeCell ref="K36:V36"/>
    <mergeCell ref="T35:U35"/>
    <mergeCell ref="J37:V37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M51"/>
  <sheetViews>
    <sheetView view="pageBreakPreview" topLeftCell="F16" zoomScale="90" zoomScaleNormal="90" zoomScaleSheetLayoutView="90" workbookViewId="0">
      <selection activeCell="Y48" sqref="Y48"/>
    </sheetView>
  </sheetViews>
  <sheetFormatPr defaultRowHeight="15"/>
  <cols>
    <col min="1" max="1" width="9.140625" style="77"/>
    <col min="2" max="2" width="13.140625" style="77" customWidth="1"/>
    <col min="3" max="3" width="9.7109375" style="77" customWidth="1"/>
    <col min="4" max="4" width="8.140625" style="77" customWidth="1"/>
    <col min="5" max="5" width="7.42578125" style="77" customWidth="1"/>
    <col min="6" max="6" width="9.140625" style="77" customWidth="1"/>
    <col min="7" max="7" width="9.5703125" style="77" customWidth="1"/>
    <col min="8" max="8" width="8.140625" style="77" customWidth="1"/>
    <col min="9" max="9" width="6.85546875" style="77" customWidth="1"/>
    <col min="10" max="10" width="9.28515625" style="77" customWidth="1"/>
    <col min="11" max="11" width="10.5703125" style="77" customWidth="1"/>
    <col min="12" max="12" width="8.7109375" style="77" customWidth="1"/>
    <col min="13" max="13" width="7.42578125" style="77" customWidth="1"/>
    <col min="14" max="14" width="8.5703125" style="77" customWidth="1"/>
    <col min="15" max="15" width="8.7109375" style="77" customWidth="1"/>
    <col min="16" max="16" width="8.5703125" style="77" customWidth="1"/>
    <col min="17" max="17" width="7.85546875" style="77" customWidth="1"/>
    <col min="18" max="18" width="8.5703125" style="77" customWidth="1"/>
    <col min="19" max="20" width="10.5703125" style="77" customWidth="1"/>
    <col min="21" max="21" width="11.140625" style="77" customWidth="1"/>
    <col min="22" max="22" width="10.7109375" style="77" bestFit="1" customWidth="1"/>
    <col min="23" max="24" width="10.7109375" style="77" customWidth="1"/>
    <col min="25" max="16384" width="9.140625" style="77"/>
  </cols>
  <sheetData>
    <row r="1" spans="1:39" s="15" customFormat="1" ht="15.75">
      <c r="C1" s="45"/>
      <c r="D1" s="45"/>
      <c r="E1" s="45"/>
      <c r="F1" s="45"/>
      <c r="G1" s="45"/>
      <c r="H1" s="45"/>
      <c r="I1" s="114" t="s">
        <v>0</v>
      </c>
      <c r="J1" s="114"/>
      <c r="S1" s="41"/>
      <c r="T1" s="41"/>
      <c r="U1" s="926" t="s">
        <v>831</v>
      </c>
      <c r="V1" s="926"/>
      <c r="W1" s="791"/>
      <c r="X1" s="791"/>
      <c r="Y1" s="43"/>
      <c r="Z1" s="43"/>
    </row>
    <row r="2" spans="1:39" s="15" customFormat="1" ht="20.25">
      <c r="E2" s="848" t="s">
        <v>705</v>
      </c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W2" s="792"/>
      <c r="X2" s="792"/>
    </row>
    <row r="3" spans="1:39" s="15" customFormat="1" ht="20.25">
      <c r="H3" s="44"/>
      <c r="I3" s="44"/>
      <c r="J3" s="44"/>
      <c r="K3" s="44"/>
      <c r="L3" s="44"/>
      <c r="M3" s="44"/>
      <c r="N3" s="44"/>
      <c r="O3" s="44"/>
      <c r="P3" s="44"/>
      <c r="W3" s="792"/>
      <c r="X3" s="792"/>
    </row>
    <row r="4" spans="1:39" ht="15.75">
      <c r="C4" s="849" t="s">
        <v>830</v>
      </c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47"/>
      <c r="S4" s="121"/>
      <c r="T4" s="121"/>
      <c r="U4" s="121"/>
      <c r="V4" s="121"/>
      <c r="W4" s="121"/>
      <c r="X4" s="121"/>
      <c r="Y4" s="114"/>
    </row>
    <row r="5" spans="1:39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39">
      <c r="A6" s="81" t="s">
        <v>923</v>
      </c>
      <c r="B6" s="91"/>
    </row>
    <row r="7" spans="1:39">
      <c r="B7" s="353"/>
    </row>
    <row r="8" spans="1:39" s="81" customFormat="1" ht="24.75" customHeight="1">
      <c r="A8" s="844" t="s">
        <v>2</v>
      </c>
      <c r="B8" s="1112" t="s">
        <v>3</v>
      </c>
      <c r="C8" s="1109" t="s">
        <v>823</v>
      </c>
      <c r="D8" s="1110"/>
      <c r="E8" s="1110"/>
      <c r="F8" s="1110"/>
      <c r="G8" s="1109" t="s">
        <v>827</v>
      </c>
      <c r="H8" s="1110"/>
      <c r="I8" s="1110"/>
      <c r="J8" s="1110"/>
      <c r="K8" s="1109" t="s">
        <v>828</v>
      </c>
      <c r="L8" s="1110"/>
      <c r="M8" s="1110"/>
      <c r="N8" s="1110"/>
      <c r="O8" s="1109" t="s">
        <v>829</v>
      </c>
      <c r="P8" s="1110"/>
      <c r="Q8" s="1110"/>
      <c r="R8" s="1110"/>
      <c r="S8" s="1125" t="s">
        <v>19</v>
      </c>
      <c r="T8" s="1126"/>
      <c r="U8" s="1126"/>
      <c r="V8" s="1126"/>
      <c r="W8" s="794"/>
      <c r="X8" s="794"/>
    </row>
    <row r="9" spans="1:39" s="82" customFormat="1" ht="29.25" customHeight="1">
      <c r="A9" s="844"/>
      <c r="B9" s="1112"/>
      <c r="C9" s="1120" t="s">
        <v>824</v>
      </c>
      <c r="D9" s="1122" t="s">
        <v>826</v>
      </c>
      <c r="E9" s="1123"/>
      <c r="F9" s="1124"/>
      <c r="G9" s="1120" t="s">
        <v>824</v>
      </c>
      <c r="H9" s="1122" t="s">
        <v>826</v>
      </c>
      <c r="I9" s="1123"/>
      <c r="J9" s="1124"/>
      <c r="K9" s="1120" t="s">
        <v>824</v>
      </c>
      <c r="L9" s="1122" t="s">
        <v>826</v>
      </c>
      <c r="M9" s="1123"/>
      <c r="N9" s="1124"/>
      <c r="O9" s="1120" t="s">
        <v>824</v>
      </c>
      <c r="P9" s="1122" t="s">
        <v>826</v>
      </c>
      <c r="Q9" s="1123"/>
      <c r="R9" s="1124"/>
      <c r="S9" s="1120" t="s">
        <v>824</v>
      </c>
      <c r="T9" s="1122" t="s">
        <v>826</v>
      </c>
      <c r="U9" s="1123"/>
      <c r="V9" s="1124"/>
      <c r="W9" s="795"/>
      <c r="X9" s="795"/>
    </row>
    <row r="10" spans="1:39" s="82" customFormat="1" ht="46.5" customHeight="1">
      <c r="A10" s="844"/>
      <c r="B10" s="1112"/>
      <c r="C10" s="1121"/>
      <c r="D10" s="76" t="s">
        <v>825</v>
      </c>
      <c r="E10" s="76" t="s">
        <v>206</v>
      </c>
      <c r="F10" s="76" t="s">
        <v>19</v>
      </c>
      <c r="G10" s="1121"/>
      <c r="H10" s="76" t="s">
        <v>825</v>
      </c>
      <c r="I10" s="76" t="s">
        <v>206</v>
      </c>
      <c r="J10" s="76" t="s">
        <v>19</v>
      </c>
      <c r="K10" s="1121"/>
      <c r="L10" s="76" t="s">
        <v>825</v>
      </c>
      <c r="M10" s="76" t="s">
        <v>206</v>
      </c>
      <c r="N10" s="76" t="s">
        <v>19</v>
      </c>
      <c r="O10" s="1121"/>
      <c r="P10" s="76" t="s">
        <v>825</v>
      </c>
      <c r="Q10" s="76" t="s">
        <v>206</v>
      </c>
      <c r="R10" s="76" t="s">
        <v>19</v>
      </c>
      <c r="S10" s="1121"/>
      <c r="T10" s="76" t="s">
        <v>825</v>
      </c>
      <c r="U10" s="76" t="s">
        <v>206</v>
      </c>
      <c r="V10" s="76" t="s">
        <v>19</v>
      </c>
      <c r="W10" s="795"/>
      <c r="X10" s="795"/>
    </row>
    <row r="11" spans="1:39" s="165" customFormat="1" ht="16.149999999999999" customHeight="1">
      <c r="A11" s="354">
        <v>1</v>
      </c>
      <c r="B11" s="164">
        <v>2</v>
      </c>
      <c r="C11" s="164">
        <v>3</v>
      </c>
      <c r="D11" s="354">
        <v>4</v>
      </c>
      <c r="E11" s="164">
        <v>5</v>
      </c>
      <c r="F11" s="164">
        <v>6</v>
      </c>
      <c r="G11" s="354">
        <v>7</v>
      </c>
      <c r="H11" s="164">
        <v>8</v>
      </c>
      <c r="I11" s="164">
        <v>9</v>
      </c>
      <c r="J11" s="354">
        <v>10</v>
      </c>
      <c r="K11" s="164">
        <v>11</v>
      </c>
      <c r="L11" s="164">
        <v>12</v>
      </c>
      <c r="M11" s="354">
        <v>13</v>
      </c>
      <c r="N11" s="164">
        <v>14</v>
      </c>
      <c r="O11" s="164">
        <v>15</v>
      </c>
      <c r="P11" s="354">
        <v>16</v>
      </c>
      <c r="Q11" s="164">
        <v>17</v>
      </c>
      <c r="R11" s="164">
        <v>18</v>
      </c>
      <c r="S11" s="354">
        <v>19</v>
      </c>
      <c r="T11" s="164">
        <v>20</v>
      </c>
      <c r="U11" s="164">
        <v>21</v>
      </c>
      <c r="V11" s="354">
        <v>22</v>
      </c>
      <c r="W11" s="796"/>
      <c r="X11" s="796"/>
      <c r="Z11" s="165">
        <v>50</v>
      </c>
      <c r="AA11" s="165" t="s">
        <v>1060</v>
      </c>
      <c r="AB11" s="165" t="s">
        <v>1061</v>
      </c>
      <c r="AC11" s="165" t="s">
        <v>1062</v>
      </c>
    </row>
    <row r="12" spans="1:39">
      <c r="A12" s="124">
        <v>1</v>
      </c>
      <c r="B12" s="385" t="s">
        <v>889</v>
      </c>
      <c r="C12" s="84">
        <v>63</v>
      </c>
      <c r="D12" s="781">
        <f>C12*6000/100000</f>
        <v>3.78</v>
      </c>
      <c r="E12" s="781">
        <f>C12*4000/100000</f>
        <v>2.52</v>
      </c>
      <c r="F12" s="781">
        <f>D12+E12</f>
        <v>6.3</v>
      </c>
      <c r="G12" s="84">
        <v>90</v>
      </c>
      <c r="H12" s="781">
        <f>G12*9000/100000</f>
        <v>8.1</v>
      </c>
      <c r="I12" s="781">
        <f>G12*6000/100000</f>
        <v>5.4</v>
      </c>
      <c r="J12" s="781">
        <f>H12+I12</f>
        <v>13.5</v>
      </c>
      <c r="K12" s="84">
        <v>49</v>
      </c>
      <c r="L12" s="781">
        <f>K12*12000/100000</f>
        <v>5.88</v>
      </c>
      <c r="M12" s="781">
        <f>K12*8000/100000</f>
        <v>3.92</v>
      </c>
      <c r="N12" s="781">
        <f>L12+M12</f>
        <v>9.8000000000000007</v>
      </c>
      <c r="O12" s="84">
        <v>21</v>
      </c>
      <c r="P12" s="781">
        <f>O12*15000/100000</f>
        <v>3.15</v>
      </c>
      <c r="Q12" s="781">
        <f>O12*10000/100000</f>
        <v>2.1</v>
      </c>
      <c r="R12" s="781">
        <f>P12+Q12</f>
        <v>5.25</v>
      </c>
      <c r="S12" s="84">
        <f>C12+G12+K12+O12</f>
        <v>223</v>
      </c>
      <c r="T12" s="781">
        <f>D12+H12+L12+P12</f>
        <v>20.909999999999997</v>
      </c>
      <c r="U12" s="781">
        <f>E12+I12+M12+Q12</f>
        <v>13.94</v>
      </c>
      <c r="V12" s="781">
        <f>T12+U12</f>
        <v>34.849999999999994</v>
      </c>
      <c r="W12" s="797">
        <f>K12+O12</f>
        <v>70</v>
      </c>
      <c r="X12" s="797"/>
      <c r="Y12" s="77">
        <v>223</v>
      </c>
      <c r="Z12" s="782">
        <v>508</v>
      </c>
      <c r="AA12" s="782">
        <v>718</v>
      </c>
      <c r="AB12" s="782">
        <v>391</v>
      </c>
      <c r="AC12" s="782">
        <v>169</v>
      </c>
      <c r="AD12" s="77">
        <f>Z12+AA12+AB12+AC12</f>
        <v>1786</v>
      </c>
      <c r="AE12" s="77">
        <v>1786</v>
      </c>
      <c r="AF12" s="77">
        <v>1786</v>
      </c>
      <c r="AG12" s="77">
        <v>1786</v>
      </c>
      <c r="AH12" s="780">
        <v>63</v>
      </c>
      <c r="AI12" s="780">
        <v>90</v>
      </c>
      <c r="AJ12" s="780">
        <v>49</v>
      </c>
      <c r="AK12" s="780">
        <v>21</v>
      </c>
      <c r="AL12" s="77">
        <f>AH12+AI12+AJ12+AK12</f>
        <v>223</v>
      </c>
      <c r="AM12" s="77">
        <f>Y12-AL12</f>
        <v>0</v>
      </c>
    </row>
    <row r="13" spans="1:39">
      <c r="A13" s="124">
        <v>2</v>
      </c>
      <c r="B13" s="385" t="s">
        <v>890</v>
      </c>
      <c r="C13" s="84">
        <v>96</v>
      </c>
      <c r="D13" s="781">
        <f t="shared" ref="D13:D44" si="0">C13*6000/100000</f>
        <v>5.76</v>
      </c>
      <c r="E13" s="781">
        <f t="shared" ref="E13:E44" si="1">C13*4000/100000</f>
        <v>3.84</v>
      </c>
      <c r="F13" s="781">
        <f t="shared" ref="F13:F44" si="2">D13+E13</f>
        <v>9.6</v>
      </c>
      <c r="G13" s="84">
        <v>157</v>
      </c>
      <c r="H13" s="781">
        <f t="shared" ref="H13:H44" si="3">G13*9000/100000</f>
        <v>14.13</v>
      </c>
      <c r="I13" s="781">
        <f t="shared" ref="I13:I44" si="4">G13*6000/100000</f>
        <v>9.42</v>
      </c>
      <c r="J13" s="781">
        <f t="shared" ref="J13:J44" si="5">H13+I13</f>
        <v>23.55</v>
      </c>
      <c r="K13" s="84">
        <v>47</v>
      </c>
      <c r="L13" s="781">
        <f t="shared" ref="L13:L44" si="6">K13*12000/100000</f>
        <v>5.64</v>
      </c>
      <c r="M13" s="781">
        <f t="shared" ref="M13:M44" si="7">K13*8000/100000</f>
        <v>3.76</v>
      </c>
      <c r="N13" s="781">
        <f t="shared" ref="N13:N44" si="8">L13+M13</f>
        <v>9.3999999999999986</v>
      </c>
      <c r="O13" s="84">
        <v>17</v>
      </c>
      <c r="P13" s="781">
        <f t="shared" ref="P13:P44" si="9">O13*15000/100000</f>
        <v>2.5499999999999998</v>
      </c>
      <c r="Q13" s="781">
        <f t="shared" ref="Q13:Q44" si="10">O13*10000/100000</f>
        <v>1.7</v>
      </c>
      <c r="R13" s="781">
        <f t="shared" ref="R13:R44" si="11">P13+Q13</f>
        <v>4.25</v>
      </c>
      <c r="S13" s="84">
        <f t="shared" ref="S13:S44" si="12">C13+G13+K13+O13</f>
        <v>317</v>
      </c>
      <c r="T13" s="781">
        <f t="shared" ref="T13:T44" si="13">D13+H13+L13+P13</f>
        <v>28.080000000000002</v>
      </c>
      <c r="U13" s="781">
        <f t="shared" ref="U13:U44" si="14">E13+I13+M13+Q13</f>
        <v>18.72</v>
      </c>
      <c r="V13" s="781">
        <f t="shared" ref="V13:V44" si="15">T13+U13</f>
        <v>46.8</v>
      </c>
      <c r="W13" s="797">
        <f t="shared" ref="W13:W45" si="16">K13+O13</f>
        <v>64</v>
      </c>
      <c r="X13" s="797"/>
      <c r="Y13" s="77">
        <v>317</v>
      </c>
      <c r="Z13" s="782">
        <v>832</v>
      </c>
      <c r="AA13" s="782">
        <v>1354</v>
      </c>
      <c r="AB13" s="782">
        <v>406</v>
      </c>
      <c r="AC13" s="782">
        <v>150</v>
      </c>
      <c r="AD13" s="77">
        <f t="shared" ref="AD13:AD45" si="17">Z13+AA13+AB13+AC13</f>
        <v>2742</v>
      </c>
      <c r="AE13" s="77">
        <v>2742</v>
      </c>
      <c r="AF13" s="77">
        <v>2742</v>
      </c>
      <c r="AG13" s="77">
        <v>2742</v>
      </c>
      <c r="AH13" s="780">
        <v>96</v>
      </c>
      <c r="AI13" s="780">
        <v>157</v>
      </c>
      <c r="AJ13" s="780">
        <v>47</v>
      </c>
      <c r="AK13" s="780">
        <v>17</v>
      </c>
      <c r="AL13" s="77">
        <f t="shared" ref="AL13:AL44" si="18">AH13+AI13+AJ13+AK13</f>
        <v>317</v>
      </c>
      <c r="AM13" s="77">
        <f t="shared" ref="AM13:AM45" si="19">Y13-AL13</f>
        <v>0</v>
      </c>
    </row>
    <row r="14" spans="1:39">
      <c r="A14" s="124">
        <v>3</v>
      </c>
      <c r="B14" s="385" t="s">
        <v>891</v>
      </c>
      <c r="C14" s="84">
        <v>103</v>
      </c>
      <c r="D14" s="781">
        <f t="shared" si="0"/>
        <v>6.18</v>
      </c>
      <c r="E14" s="781">
        <f t="shared" si="1"/>
        <v>4.12</v>
      </c>
      <c r="F14" s="781">
        <f t="shared" si="2"/>
        <v>10.3</v>
      </c>
      <c r="G14" s="84">
        <v>134</v>
      </c>
      <c r="H14" s="781">
        <f t="shared" si="3"/>
        <v>12.06</v>
      </c>
      <c r="I14" s="781">
        <f t="shared" si="4"/>
        <v>8.0399999999999991</v>
      </c>
      <c r="J14" s="781">
        <f t="shared" si="5"/>
        <v>20.100000000000001</v>
      </c>
      <c r="K14" s="84">
        <v>47</v>
      </c>
      <c r="L14" s="781">
        <f t="shared" si="6"/>
        <v>5.64</v>
      </c>
      <c r="M14" s="781">
        <f t="shared" si="7"/>
        <v>3.76</v>
      </c>
      <c r="N14" s="781">
        <f t="shared" si="8"/>
        <v>9.3999999999999986</v>
      </c>
      <c r="O14" s="84">
        <v>28</v>
      </c>
      <c r="P14" s="781">
        <f t="shared" si="9"/>
        <v>4.2</v>
      </c>
      <c r="Q14" s="781">
        <f t="shared" si="10"/>
        <v>2.8</v>
      </c>
      <c r="R14" s="781">
        <f t="shared" si="11"/>
        <v>7</v>
      </c>
      <c r="S14" s="84">
        <f t="shared" si="12"/>
        <v>312</v>
      </c>
      <c r="T14" s="781">
        <f t="shared" si="13"/>
        <v>28.080000000000002</v>
      </c>
      <c r="U14" s="781">
        <f t="shared" si="14"/>
        <v>18.72</v>
      </c>
      <c r="V14" s="781">
        <f t="shared" si="15"/>
        <v>46.8</v>
      </c>
      <c r="W14" s="797">
        <f t="shared" si="16"/>
        <v>75</v>
      </c>
      <c r="X14" s="797"/>
      <c r="Y14" s="77">
        <v>312</v>
      </c>
      <c r="Z14" s="782">
        <v>858</v>
      </c>
      <c r="AA14" s="782">
        <v>1112</v>
      </c>
      <c r="AB14" s="782">
        <v>388</v>
      </c>
      <c r="AC14" s="782">
        <v>237</v>
      </c>
      <c r="AD14" s="77">
        <f t="shared" si="17"/>
        <v>2595</v>
      </c>
      <c r="AE14" s="77">
        <v>2595</v>
      </c>
      <c r="AF14" s="77">
        <v>2595</v>
      </c>
      <c r="AG14" s="77">
        <v>2595</v>
      </c>
      <c r="AH14" s="780">
        <v>103</v>
      </c>
      <c r="AI14" s="780">
        <v>134</v>
      </c>
      <c r="AJ14" s="780">
        <v>47</v>
      </c>
      <c r="AK14" s="780">
        <v>28</v>
      </c>
      <c r="AL14" s="77">
        <f t="shared" si="18"/>
        <v>312</v>
      </c>
      <c r="AM14" s="77">
        <f t="shared" si="19"/>
        <v>0</v>
      </c>
    </row>
    <row r="15" spans="1:39">
      <c r="A15" s="124">
        <v>4</v>
      </c>
      <c r="B15" s="385" t="s">
        <v>892</v>
      </c>
      <c r="C15" s="84">
        <v>62</v>
      </c>
      <c r="D15" s="781">
        <f t="shared" si="0"/>
        <v>3.72</v>
      </c>
      <c r="E15" s="781">
        <f t="shared" si="1"/>
        <v>2.48</v>
      </c>
      <c r="F15" s="781">
        <f t="shared" si="2"/>
        <v>6.2</v>
      </c>
      <c r="G15" s="84">
        <v>74</v>
      </c>
      <c r="H15" s="781">
        <f t="shared" si="3"/>
        <v>6.66</v>
      </c>
      <c r="I15" s="781">
        <f t="shared" si="4"/>
        <v>4.4400000000000004</v>
      </c>
      <c r="J15" s="781">
        <f t="shared" si="5"/>
        <v>11.100000000000001</v>
      </c>
      <c r="K15" s="84">
        <v>25</v>
      </c>
      <c r="L15" s="781">
        <f t="shared" si="6"/>
        <v>3</v>
      </c>
      <c r="M15" s="781">
        <f t="shared" si="7"/>
        <v>2</v>
      </c>
      <c r="N15" s="781">
        <f t="shared" si="8"/>
        <v>5</v>
      </c>
      <c r="O15" s="84">
        <v>8</v>
      </c>
      <c r="P15" s="781">
        <f t="shared" si="9"/>
        <v>1.2</v>
      </c>
      <c r="Q15" s="781">
        <f t="shared" si="10"/>
        <v>0.8</v>
      </c>
      <c r="R15" s="781">
        <f t="shared" si="11"/>
        <v>2</v>
      </c>
      <c r="S15" s="84">
        <f t="shared" si="12"/>
        <v>169</v>
      </c>
      <c r="T15" s="781">
        <f t="shared" si="13"/>
        <v>14.58</v>
      </c>
      <c r="U15" s="781">
        <f t="shared" si="14"/>
        <v>9.7200000000000006</v>
      </c>
      <c r="V15" s="781">
        <f t="shared" si="15"/>
        <v>24.3</v>
      </c>
      <c r="W15" s="797">
        <f t="shared" si="16"/>
        <v>33</v>
      </c>
      <c r="X15" s="797"/>
      <c r="Y15" s="77">
        <v>169</v>
      </c>
      <c r="Z15" s="782">
        <v>444</v>
      </c>
      <c r="AA15" s="782">
        <v>536</v>
      </c>
      <c r="AB15" s="782">
        <v>181</v>
      </c>
      <c r="AC15" s="782">
        <v>56</v>
      </c>
      <c r="AD15" s="77">
        <f t="shared" si="17"/>
        <v>1217</v>
      </c>
      <c r="AE15" s="77">
        <v>1217</v>
      </c>
      <c r="AF15" s="77">
        <v>1217</v>
      </c>
      <c r="AG15" s="77">
        <v>1217</v>
      </c>
      <c r="AH15" s="780">
        <v>62</v>
      </c>
      <c r="AI15" s="780">
        <v>74</v>
      </c>
      <c r="AJ15" s="780">
        <v>25</v>
      </c>
      <c r="AK15" s="780">
        <v>8</v>
      </c>
      <c r="AL15" s="77">
        <f t="shared" si="18"/>
        <v>169</v>
      </c>
      <c r="AM15" s="77">
        <f t="shared" si="19"/>
        <v>0</v>
      </c>
    </row>
    <row r="16" spans="1:39">
      <c r="A16" s="124">
        <v>5</v>
      </c>
      <c r="B16" s="385" t="s">
        <v>893</v>
      </c>
      <c r="C16" s="84">
        <v>269</v>
      </c>
      <c r="D16" s="781">
        <f t="shared" si="0"/>
        <v>16.14</v>
      </c>
      <c r="E16" s="781">
        <f t="shared" si="1"/>
        <v>10.76</v>
      </c>
      <c r="F16" s="781">
        <f t="shared" si="2"/>
        <v>26.9</v>
      </c>
      <c r="G16" s="84">
        <v>199</v>
      </c>
      <c r="H16" s="781">
        <f t="shared" si="3"/>
        <v>17.91</v>
      </c>
      <c r="I16" s="781">
        <f t="shared" si="4"/>
        <v>11.94</v>
      </c>
      <c r="J16" s="781">
        <f t="shared" si="5"/>
        <v>29.85</v>
      </c>
      <c r="K16" s="84">
        <v>76</v>
      </c>
      <c r="L16" s="781">
        <f t="shared" si="6"/>
        <v>9.1199999999999992</v>
      </c>
      <c r="M16" s="781">
        <f t="shared" si="7"/>
        <v>6.08</v>
      </c>
      <c r="N16" s="781">
        <f t="shared" si="8"/>
        <v>15.2</v>
      </c>
      <c r="O16" s="84">
        <v>26</v>
      </c>
      <c r="P16" s="781">
        <f t="shared" si="9"/>
        <v>3.9</v>
      </c>
      <c r="Q16" s="781">
        <f t="shared" si="10"/>
        <v>2.6</v>
      </c>
      <c r="R16" s="781">
        <f t="shared" si="11"/>
        <v>6.5</v>
      </c>
      <c r="S16" s="84">
        <f t="shared" si="12"/>
        <v>570</v>
      </c>
      <c r="T16" s="781">
        <f t="shared" si="13"/>
        <v>47.069999999999993</v>
      </c>
      <c r="U16" s="781">
        <f t="shared" si="14"/>
        <v>31.380000000000003</v>
      </c>
      <c r="V16" s="781">
        <f t="shared" si="15"/>
        <v>78.449999999999989</v>
      </c>
      <c r="W16" s="797">
        <f t="shared" si="16"/>
        <v>102</v>
      </c>
      <c r="X16" s="797"/>
      <c r="Y16" s="77">
        <v>570</v>
      </c>
      <c r="Z16" s="782">
        <v>2199</v>
      </c>
      <c r="AA16" s="782">
        <v>1628</v>
      </c>
      <c r="AB16" s="782">
        <v>624</v>
      </c>
      <c r="AC16" s="782">
        <v>204</v>
      </c>
      <c r="AD16" s="77">
        <f t="shared" si="17"/>
        <v>4655</v>
      </c>
      <c r="AE16" s="77">
        <v>4655</v>
      </c>
      <c r="AF16" s="77">
        <v>4655</v>
      </c>
      <c r="AG16" s="77">
        <v>4655</v>
      </c>
      <c r="AH16" s="780">
        <v>269</v>
      </c>
      <c r="AI16" s="780">
        <v>199</v>
      </c>
      <c r="AJ16" s="780">
        <v>76</v>
      </c>
      <c r="AK16" s="780">
        <v>26</v>
      </c>
      <c r="AL16" s="77">
        <f t="shared" si="18"/>
        <v>570</v>
      </c>
      <c r="AM16" s="77">
        <f t="shared" si="19"/>
        <v>0</v>
      </c>
    </row>
    <row r="17" spans="1:39">
      <c r="A17" s="124">
        <v>6</v>
      </c>
      <c r="B17" s="385" t="s">
        <v>894</v>
      </c>
      <c r="C17" s="84">
        <v>65</v>
      </c>
      <c r="D17" s="781">
        <f t="shared" si="0"/>
        <v>3.9</v>
      </c>
      <c r="E17" s="781">
        <f t="shared" si="1"/>
        <v>2.6</v>
      </c>
      <c r="F17" s="781">
        <f t="shared" si="2"/>
        <v>6.5</v>
      </c>
      <c r="G17" s="84">
        <v>109</v>
      </c>
      <c r="H17" s="781">
        <f t="shared" si="3"/>
        <v>9.81</v>
      </c>
      <c r="I17" s="781">
        <f t="shared" si="4"/>
        <v>6.54</v>
      </c>
      <c r="J17" s="781">
        <f t="shared" si="5"/>
        <v>16.350000000000001</v>
      </c>
      <c r="K17" s="84">
        <v>43</v>
      </c>
      <c r="L17" s="781">
        <f t="shared" si="6"/>
        <v>5.16</v>
      </c>
      <c r="M17" s="781">
        <f t="shared" si="7"/>
        <v>3.44</v>
      </c>
      <c r="N17" s="781">
        <f t="shared" si="8"/>
        <v>8.6</v>
      </c>
      <c r="O17" s="84">
        <v>21</v>
      </c>
      <c r="P17" s="781">
        <f t="shared" si="9"/>
        <v>3.15</v>
      </c>
      <c r="Q17" s="781">
        <f t="shared" si="10"/>
        <v>2.1</v>
      </c>
      <c r="R17" s="781">
        <f t="shared" si="11"/>
        <v>5.25</v>
      </c>
      <c r="S17" s="84">
        <f t="shared" si="12"/>
        <v>238</v>
      </c>
      <c r="T17" s="781">
        <f t="shared" si="13"/>
        <v>22.02</v>
      </c>
      <c r="U17" s="781">
        <f t="shared" si="14"/>
        <v>14.68</v>
      </c>
      <c r="V17" s="781">
        <f t="shared" si="15"/>
        <v>36.700000000000003</v>
      </c>
      <c r="W17" s="797">
        <f t="shared" si="16"/>
        <v>64</v>
      </c>
      <c r="X17" s="797"/>
      <c r="Y17" s="77">
        <v>238</v>
      </c>
      <c r="Z17" s="782">
        <v>451</v>
      </c>
      <c r="AA17" s="782">
        <v>761</v>
      </c>
      <c r="AB17" s="782">
        <v>303</v>
      </c>
      <c r="AC17" s="782">
        <v>147</v>
      </c>
      <c r="AD17" s="77">
        <f t="shared" si="17"/>
        <v>1662</v>
      </c>
      <c r="AE17" s="77">
        <v>1662</v>
      </c>
      <c r="AF17" s="77">
        <v>1662</v>
      </c>
      <c r="AG17" s="77">
        <v>1662</v>
      </c>
      <c r="AH17" s="780">
        <v>65</v>
      </c>
      <c r="AI17" s="780">
        <v>109</v>
      </c>
      <c r="AJ17" s="780">
        <v>43</v>
      </c>
      <c r="AK17" s="780">
        <v>21</v>
      </c>
      <c r="AL17" s="77">
        <f t="shared" si="18"/>
        <v>238</v>
      </c>
      <c r="AM17" s="77">
        <f t="shared" si="19"/>
        <v>0</v>
      </c>
    </row>
    <row r="18" spans="1:39">
      <c r="A18" s="124">
        <v>7</v>
      </c>
      <c r="B18" s="385" t="s">
        <v>895</v>
      </c>
      <c r="C18" s="84">
        <v>130</v>
      </c>
      <c r="D18" s="781">
        <f t="shared" si="0"/>
        <v>7.8</v>
      </c>
      <c r="E18" s="781">
        <f t="shared" si="1"/>
        <v>5.2</v>
      </c>
      <c r="F18" s="781">
        <f t="shared" si="2"/>
        <v>13</v>
      </c>
      <c r="G18" s="84">
        <v>132</v>
      </c>
      <c r="H18" s="781">
        <f t="shared" si="3"/>
        <v>11.88</v>
      </c>
      <c r="I18" s="781">
        <f t="shared" si="4"/>
        <v>7.92</v>
      </c>
      <c r="J18" s="781">
        <f t="shared" si="5"/>
        <v>19.8</v>
      </c>
      <c r="K18" s="84">
        <v>57</v>
      </c>
      <c r="L18" s="781">
        <f t="shared" si="6"/>
        <v>6.84</v>
      </c>
      <c r="M18" s="781">
        <f t="shared" si="7"/>
        <v>4.5599999999999996</v>
      </c>
      <c r="N18" s="781">
        <f t="shared" si="8"/>
        <v>11.399999999999999</v>
      </c>
      <c r="O18" s="84">
        <v>9</v>
      </c>
      <c r="P18" s="781">
        <f t="shared" si="9"/>
        <v>1.35</v>
      </c>
      <c r="Q18" s="781">
        <f t="shared" si="10"/>
        <v>0.9</v>
      </c>
      <c r="R18" s="781">
        <f t="shared" si="11"/>
        <v>2.25</v>
      </c>
      <c r="S18" s="84">
        <f t="shared" si="12"/>
        <v>328</v>
      </c>
      <c r="T18" s="781">
        <f t="shared" si="13"/>
        <v>27.87</v>
      </c>
      <c r="U18" s="781">
        <f t="shared" si="14"/>
        <v>18.579999999999998</v>
      </c>
      <c r="V18" s="781">
        <f t="shared" si="15"/>
        <v>46.45</v>
      </c>
      <c r="W18" s="797">
        <f t="shared" si="16"/>
        <v>66</v>
      </c>
      <c r="X18" s="797"/>
      <c r="Y18" s="77">
        <v>328</v>
      </c>
      <c r="Z18" s="782">
        <v>1102</v>
      </c>
      <c r="AA18" s="782">
        <v>1123</v>
      </c>
      <c r="AB18" s="782">
        <v>486</v>
      </c>
      <c r="AC18" s="782">
        <v>75</v>
      </c>
      <c r="AD18" s="77">
        <f t="shared" si="17"/>
        <v>2786</v>
      </c>
      <c r="AE18" s="77">
        <v>2786</v>
      </c>
      <c r="AF18" s="77">
        <v>2786</v>
      </c>
      <c r="AG18" s="77">
        <v>2786</v>
      </c>
      <c r="AH18" s="780">
        <v>130</v>
      </c>
      <c r="AI18" s="780">
        <v>132</v>
      </c>
      <c r="AJ18" s="780">
        <v>57</v>
      </c>
      <c r="AK18" s="780">
        <v>9</v>
      </c>
      <c r="AL18" s="77">
        <f t="shared" si="18"/>
        <v>328</v>
      </c>
      <c r="AM18" s="77">
        <f t="shared" si="19"/>
        <v>0</v>
      </c>
    </row>
    <row r="19" spans="1:39">
      <c r="A19" s="124">
        <v>8</v>
      </c>
      <c r="B19" s="385" t="s">
        <v>896</v>
      </c>
      <c r="C19" s="84">
        <v>94</v>
      </c>
      <c r="D19" s="781">
        <f t="shared" si="0"/>
        <v>5.64</v>
      </c>
      <c r="E19" s="781">
        <f t="shared" si="1"/>
        <v>3.76</v>
      </c>
      <c r="F19" s="781">
        <f t="shared" si="2"/>
        <v>9.3999999999999986</v>
      </c>
      <c r="G19" s="84">
        <v>62</v>
      </c>
      <c r="H19" s="781">
        <f t="shared" si="3"/>
        <v>5.58</v>
      </c>
      <c r="I19" s="781">
        <f t="shared" si="4"/>
        <v>3.72</v>
      </c>
      <c r="J19" s="781">
        <f t="shared" si="5"/>
        <v>9.3000000000000007</v>
      </c>
      <c r="K19" s="84">
        <v>31</v>
      </c>
      <c r="L19" s="781">
        <f t="shared" si="6"/>
        <v>3.72</v>
      </c>
      <c r="M19" s="781">
        <f t="shared" si="7"/>
        <v>2.48</v>
      </c>
      <c r="N19" s="781">
        <f t="shared" si="8"/>
        <v>6.2</v>
      </c>
      <c r="O19" s="84">
        <v>20</v>
      </c>
      <c r="P19" s="781">
        <f t="shared" si="9"/>
        <v>3</v>
      </c>
      <c r="Q19" s="781">
        <f t="shared" si="10"/>
        <v>2</v>
      </c>
      <c r="R19" s="781">
        <f t="shared" si="11"/>
        <v>5</v>
      </c>
      <c r="S19" s="84">
        <f t="shared" si="12"/>
        <v>207</v>
      </c>
      <c r="T19" s="781">
        <f t="shared" si="13"/>
        <v>17.939999999999998</v>
      </c>
      <c r="U19" s="781">
        <f t="shared" si="14"/>
        <v>11.96</v>
      </c>
      <c r="V19" s="781">
        <f t="shared" si="15"/>
        <v>29.9</v>
      </c>
      <c r="W19" s="797">
        <f t="shared" si="16"/>
        <v>51</v>
      </c>
      <c r="X19" s="797"/>
      <c r="Y19" s="77">
        <v>207</v>
      </c>
      <c r="Z19" s="782">
        <v>880</v>
      </c>
      <c r="AA19" s="782">
        <v>575</v>
      </c>
      <c r="AB19" s="782">
        <v>290</v>
      </c>
      <c r="AC19" s="782">
        <v>186</v>
      </c>
      <c r="AD19" s="77">
        <f t="shared" si="17"/>
        <v>1931</v>
      </c>
      <c r="AE19" s="77">
        <v>1931</v>
      </c>
      <c r="AF19" s="77">
        <v>1931</v>
      </c>
      <c r="AG19" s="77">
        <v>1931</v>
      </c>
      <c r="AH19" s="780">
        <v>94</v>
      </c>
      <c r="AI19" s="780">
        <v>62</v>
      </c>
      <c r="AJ19" s="780">
        <v>31</v>
      </c>
      <c r="AK19" s="780">
        <v>20</v>
      </c>
      <c r="AL19" s="77">
        <f t="shared" si="18"/>
        <v>207</v>
      </c>
      <c r="AM19" s="77">
        <f t="shared" si="19"/>
        <v>0</v>
      </c>
    </row>
    <row r="20" spans="1:39">
      <c r="A20" s="124">
        <v>9</v>
      </c>
      <c r="B20" s="385" t="s">
        <v>897</v>
      </c>
      <c r="C20" s="84">
        <v>64</v>
      </c>
      <c r="D20" s="781">
        <f t="shared" si="0"/>
        <v>3.84</v>
      </c>
      <c r="E20" s="781">
        <f t="shared" si="1"/>
        <v>2.56</v>
      </c>
      <c r="F20" s="781">
        <f t="shared" si="2"/>
        <v>6.4</v>
      </c>
      <c r="G20" s="84">
        <v>68</v>
      </c>
      <c r="H20" s="781">
        <f t="shared" si="3"/>
        <v>6.12</v>
      </c>
      <c r="I20" s="781">
        <f t="shared" si="4"/>
        <v>4.08</v>
      </c>
      <c r="J20" s="781">
        <f t="shared" si="5"/>
        <v>10.199999999999999</v>
      </c>
      <c r="K20" s="84">
        <v>25</v>
      </c>
      <c r="L20" s="781">
        <f t="shared" si="6"/>
        <v>3</v>
      </c>
      <c r="M20" s="781">
        <f t="shared" si="7"/>
        <v>2</v>
      </c>
      <c r="N20" s="781">
        <f t="shared" si="8"/>
        <v>5</v>
      </c>
      <c r="O20" s="84">
        <v>4</v>
      </c>
      <c r="P20" s="781">
        <f t="shared" si="9"/>
        <v>0.6</v>
      </c>
      <c r="Q20" s="781">
        <f t="shared" si="10"/>
        <v>0.4</v>
      </c>
      <c r="R20" s="781">
        <f t="shared" si="11"/>
        <v>1</v>
      </c>
      <c r="S20" s="84">
        <f t="shared" si="12"/>
        <v>161</v>
      </c>
      <c r="T20" s="781">
        <f t="shared" si="13"/>
        <v>13.56</v>
      </c>
      <c r="U20" s="781">
        <f t="shared" si="14"/>
        <v>9.0400000000000009</v>
      </c>
      <c r="V20" s="781">
        <f t="shared" si="15"/>
        <v>22.6</v>
      </c>
      <c r="W20" s="797">
        <f t="shared" si="16"/>
        <v>29</v>
      </c>
      <c r="X20" s="797"/>
      <c r="Y20" s="77">
        <v>161</v>
      </c>
      <c r="Z20" s="782">
        <v>481</v>
      </c>
      <c r="AA20" s="782">
        <v>509</v>
      </c>
      <c r="AB20" s="782">
        <v>186</v>
      </c>
      <c r="AC20" s="782">
        <v>31</v>
      </c>
      <c r="AD20" s="77">
        <f t="shared" si="17"/>
        <v>1207</v>
      </c>
      <c r="AE20" s="77">
        <v>1207</v>
      </c>
      <c r="AF20" s="77">
        <v>1207</v>
      </c>
      <c r="AG20" s="77">
        <v>1207</v>
      </c>
      <c r="AH20" s="780">
        <v>64</v>
      </c>
      <c r="AI20" s="780">
        <v>68</v>
      </c>
      <c r="AJ20" s="780">
        <v>25</v>
      </c>
      <c r="AK20" s="780">
        <v>4</v>
      </c>
      <c r="AL20" s="77">
        <f t="shared" si="18"/>
        <v>161</v>
      </c>
      <c r="AM20" s="77">
        <f t="shared" si="19"/>
        <v>0</v>
      </c>
    </row>
    <row r="21" spans="1:39">
      <c r="A21" s="124">
        <v>10</v>
      </c>
      <c r="B21" s="385" t="s">
        <v>898</v>
      </c>
      <c r="C21" s="84">
        <v>122</v>
      </c>
      <c r="D21" s="781">
        <f t="shared" si="0"/>
        <v>7.32</v>
      </c>
      <c r="E21" s="781">
        <f t="shared" si="1"/>
        <v>4.88</v>
      </c>
      <c r="F21" s="781">
        <f t="shared" si="2"/>
        <v>12.2</v>
      </c>
      <c r="G21" s="84">
        <v>156</v>
      </c>
      <c r="H21" s="781">
        <f t="shared" si="3"/>
        <v>14.04</v>
      </c>
      <c r="I21" s="781">
        <f t="shared" si="4"/>
        <v>9.36</v>
      </c>
      <c r="J21" s="781">
        <f t="shared" si="5"/>
        <v>23.4</v>
      </c>
      <c r="K21" s="84">
        <v>39</v>
      </c>
      <c r="L21" s="781">
        <f t="shared" si="6"/>
        <v>4.68</v>
      </c>
      <c r="M21" s="781">
        <f t="shared" si="7"/>
        <v>3.12</v>
      </c>
      <c r="N21" s="781">
        <f t="shared" si="8"/>
        <v>7.8</v>
      </c>
      <c r="O21" s="84">
        <v>4</v>
      </c>
      <c r="P21" s="781">
        <f t="shared" si="9"/>
        <v>0.6</v>
      </c>
      <c r="Q21" s="781">
        <f t="shared" si="10"/>
        <v>0.4</v>
      </c>
      <c r="R21" s="781">
        <f t="shared" si="11"/>
        <v>1</v>
      </c>
      <c r="S21" s="84">
        <f t="shared" si="12"/>
        <v>321</v>
      </c>
      <c r="T21" s="781">
        <f t="shared" si="13"/>
        <v>26.64</v>
      </c>
      <c r="U21" s="781">
        <f t="shared" si="14"/>
        <v>17.759999999999998</v>
      </c>
      <c r="V21" s="781">
        <f t="shared" si="15"/>
        <v>44.4</v>
      </c>
      <c r="W21" s="797">
        <f t="shared" si="16"/>
        <v>43</v>
      </c>
      <c r="X21" s="797"/>
      <c r="Y21" s="77">
        <v>321</v>
      </c>
      <c r="Z21" s="782">
        <v>671</v>
      </c>
      <c r="AA21" s="782">
        <v>858</v>
      </c>
      <c r="AB21" s="782">
        <v>214</v>
      </c>
      <c r="AC21" s="782">
        <v>22</v>
      </c>
      <c r="AD21" s="77">
        <f t="shared" si="17"/>
        <v>1765</v>
      </c>
      <c r="AE21" s="77">
        <v>1765</v>
      </c>
      <c r="AF21" s="77">
        <v>1765</v>
      </c>
      <c r="AG21" s="77">
        <v>1765</v>
      </c>
      <c r="AH21" s="780">
        <v>122</v>
      </c>
      <c r="AI21" s="780">
        <v>156</v>
      </c>
      <c r="AJ21" s="780">
        <v>39</v>
      </c>
      <c r="AK21" s="780">
        <v>4</v>
      </c>
      <c r="AL21" s="77">
        <f t="shared" si="18"/>
        <v>321</v>
      </c>
      <c r="AM21" s="77">
        <f t="shared" si="19"/>
        <v>0</v>
      </c>
    </row>
    <row r="22" spans="1:39">
      <c r="A22" s="124">
        <v>11</v>
      </c>
      <c r="B22" s="385" t="s">
        <v>899</v>
      </c>
      <c r="C22" s="84">
        <v>62</v>
      </c>
      <c r="D22" s="781">
        <f t="shared" si="0"/>
        <v>3.72</v>
      </c>
      <c r="E22" s="781">
        <f t="shared" si="1"/>
        <v>2.48</v>
      </c>
      <c r="F22" s="781">
        <f t="shared" si="2"/>
        <v>6.2</v>
      </c>
      <c r="G22" s="84">
        <v>100</v>
      </c>
      <c r="H22" s="781">
        <f t="shared" si="3"/>
        <v>9</v>
      </c>
      <c r="I22" s="781">
        <f t="shared" si="4"/>
        <v>6</v>
      </c>
      <c r="J22" s="781">
        <f t="shared" si="5"/>
        <v>15</v>
      </c>
      <c r="K22" s="84">
        <v>51</v>
      </c>
      <c r="L22" s="781">
        <f t="shared" si="6"/>
        <v>6.12</v>
      </c>
      <c r="M22" s="781">
        <f t="shared" si="7"/>
        <v>4.08</v>
      </c>
      <c r="N22" s="781">
        <f t="shared" si="8"/>
        <v>10.199999999999999</v>
      </c>
      <c r="O22" s="84">
        <v>23</v>
      </c>
      <c r="P22" s="781">
        <f t="shared" si="9"/>
        <v>3.45</v>
      </c>
      <c r="Q22" s="781">
        <f t="shared" si="10"/>
        <v>2.2999999999999998</v>
      </c>
      <c r="R22" s="781">
        <f t="shared" si="11"/>
        <v>5.75</v>
      </c>
      <c r="S22" s="84">
        <f t="shared" si="12"/>
        <v>236</v>
      </c>
      <c r="T22" s="781">
        <f t="shared" si="13"/>
        <v>22.29</v>
      </c>
      <c r="U22" s="781">
        <f t="shared" si="14"/>
        <v>14.86</v>
      </c>
      <c r="V22" s="781">
        <f t="shared" si="15"/>
        <v>37.15</v>
      </c>
      <c r="W22" s="797">
        <f t="shared" si="16"/>
        <v>74</v>
      </c>
      <c r="X22" s="797"/>
      <c r="Y22" s="77">
        <v>236</v>
      </c>
      <c r="Z22" s="782">
        <v>352</v>
      </c>
      <c r="AA22" s="782">
        <v>573</v>
      </c>
      <c r="AB22" s="782">
        <v>287</v>
      </c>
      <c r="AC22" s="782">
        <v>130</v>
      </c>
      <c r="AD22" s="77">
        <f t="shared" si="17"/>
        <v>1342</v>
      </c>
      <c r="AE22" s="77">
        <v>1342</v>
      </c>
      <c r="AF22" s="77">
        <v>1342</v>
      </c>
      <c r="AG22" s="77">
        <v>1342</v>
      </c>
      <c r="AH22" s="780">
        <v>62</v>
      </c>
      <c r="AI22" s="780">
        <v>100</v>
      </c>
      <c r="AJ22" s="780">
        <v>51</v>
      </c>
      <c r="AK22" s="780">
        <v>23</v>
      </c>
      <c r="AL22" s="77">
        <f t="shared" si="18"/>
        <v>236</v>
      </c>
      <c r="AM22" s="77">
        <f t="shared" si="19"/>
        <v>0</v>
      </c>
    </row>
    <row r="23" spans="1:39">
      <c r="A23" s="124">
        <v>12</v>
      </c>
      <c r="B23" s="385" t="s">
        <v>900</v>
      </c>
      <c r="C23" s="84">
        <v>82</v>
      </c>
      <c r="D23" s="781">
        <f t="shared" si="0"/>
        <v>4.92</v>
      </c>
      <c r="E23" s="781">
        <f t="shared" si="1"/>
        <v>3.28</v>
      </c>
      <c r="F23" s="781">
        <f t="shared" si="2"/>
        <v>8.1999999999999993</v>
      </c>
      <c r="G23" s="84">
        <v>84</v>
      </c>
      <c r="H23" s="781">
        <f t="shared" si="3"/>
        <v>7.56</v>
      </c>
      <c r="I23" s="781">
        <f t="shared" si="4"/>
        <v>5.04</v>
      </c>
      <c r="J23" s="781">
        <f t="shared" si="5"/>
        <v>12.6</v>
      </c>
      <c r="K23" s="84">
        <v>31</v>
      </c>
      <c r="L23" s="781">
        <f t="shared" si="6"/>
        <v>3.72</v>
      </c>
      <c r="M23" s="781">
        <f t="shared" si="7"/>
        <v>2.48</v>
      </c>
      <c r="N23" s="781">
        <f t="shared" si="8"/>
        <v>6.2</v>
      </c>
      <c r="O23" s="84">
        <v>5</v>
      </c>
      <c r="P23" s="781">
        <f t="shared" si="9"/>
        <v>0.75</v>
      </c>
      <c r="Q23" s="781">
        <f t="shared" si="10"/>
        <v>0.5</v>
      </c>
      <c r="R23" s="781">
        <f t="shared" si="11"/>
        <v>1.25</v>
      </c>
      <c r="S23" s="84">
        <f t="shared" si="12"/>
        <v>202</v>
      </c>
      <c r="T23" s="781">
        <f t="shared" si="13"/>
        <v>16.95</v>
      </c>
      <c r="U23" s="781">
        <f t="shared" si="14"/>
        <v>11.3</v>
      </c>
      <c r="V23" s="781">
        <f t="shared" si="15"/>
        <v>28.25</v>
      </c>
      <c r="W23" s="797">
        <f t="shared" si="16"/>
        <v>36</v>
      </c>
      <c r="X23" s="797"/>
      <c r="Y23" s="77">
        <v>202</v>
      </c>
      <c r="Z23" s="782">
        <v>593</v>
      </c>
      <c r="AA23" s="782">
        <v>597</v>
      </c>
      <c r="AB23" s="782">
        <v>218</v>
      </c>
      <c r="AC23" s="782">
        <v>34</v>
      </c>
      <c r="AD23" s="77">
        <f t="shared" si="17"/>
        <v>1442</v>
      </c>
      <c r="AE23" s="77">
        <v>1442</v>
      </c>
      <c r="AF23" s="77">
        <v>1442</v>
      </c>
      <c r="AG23" s="77">
        <v>1442</v>
      </c>
      <c r="AH23" s="780">
        <v>82</v>
      </c>
      <c r="AI23" s="780">
        <v>84</v>
      </c>
      <c r="AJ23" s="780">
        <v>31</v>
      </c>
      <c r="AK23" s="780">
        <v>5</v>
      </c>
      <c r="AL23" s="77">
        <f t="shared" si="18"/>
        <v>202</v>
      </c>
      <c r="AM23" s="77">
        <f t="shared" si="19"/>
        <v>0</v>
      </c>
    </row>
    <row r="24" spans="1:39">
      <c r="A24" s="124">
        <v>13</v>
      </c>
      <c r="B24" s="385" t="s">
        <v>901</v>
      </c>
      <c r="C24" s="84">
        <v>49</v>
      </c>
      <c r="D24" s="781">
        <f t="shared" si="0"/>
        <v>2.94</v>
      </c>
      <c r="E24" s="781">
        <f t="shared" si="1"/>
        <v>1.96</v>
      </c>
      <c r="F24" s="781">
        <f t="shared" si="2"/>
        <v>4.9000000000000004</v>
      </c>
      <c r="G24" s="84">
        <v>79</v>
      </c>
      <c r="H24" s="781">
        <f t="shared" si="3"/>
        <v>7.11</v>
      </c>
      <c r="I24" s="781">
        <f t="shared" si="4"/>
        <v>4.74</v>
      </c>
      <c r="J24" s="781">
        <f t="shared" si="5"/>
        <v>11.850000000000001</v>
      </c>
      <c r="K24" s="84">
        <v>45</v>
      </c>
      <c r="L24" s="781">
        <f t="shared" si="6"/>
        <v>5.4</v>
      </c>
      <c r="M24" s="781">
        <f t="shared" si="7"/>
        <v>3.6</v>
      </c>
      <c r="N24" s="781">
        <f t="shared" si="8"/>
        <v>9</v>
      </c>
      <c r="O24" s="84">
        <v>27</v>
      </c>
      <c r="P24" s="781">
        <f t="shared" si="9"/>
        <v>4.05</v>
      </c>
      <c r="Q24" s="781">
        <f t="shared" si="10"/>
        <v>2.7</v>
      </c>
      <c r="R24" s="781">
        <f t="shared" si="11"/>
        <v>6.75</v>
      </c>
      <c r="S24" s="84">
        <f t="shared" si="12"/>
        <v>200</v>
      </c>
      <c r="T24" s="781">
        <f t="shared" si="13"/>
        <v>19.5</v>
      </c>
      <c r="U24" s="781">
        <f t="shared" si="14"/>
        <v>13</v>
      </c>
      <c r="V24" s="781">
        <f t="shared" si="15"/>
        <v>32.5</v>
      </c>
      <c r="W24" s="797">
        <f t="shared" si="16"/>
        <v>72</v>
      </c>
      <c r="X24" s="797"/>
      <c r="Y24" s="77">
        <v>200</v>
      </c>
      <c r="Z24" s="782">
        <v>265</v>
      </c>
      <c r="AA24" s="782">
        <v>429</v>
      </c>
      <c r="AB24" s="782">
        <v>247</v>
      </c>
      <c r="AC24" s="782">
        <v>146</v>
      </c>
      <c r="AD24" s="77">
        <f t="shared" si="17"/>
        <v>1087</v>
      </c>
      <c r="AE24" s="77">
        <v>1087</v>
      </c>
      <c r="AF24" s="77">
        <v>1087</v>
      </c>
      <c r="AG24" s="77">
        <v>1087</v>
      </c>
      <c r="AH24" s="780">
        <v>49</v>
      </c>
      <c r="AI24" s="780">
        <v>79</v>
      </c>
      <c r="AJ24" s="780">
        <v>45</v>
      </c>
      <c r="AK24" s="780">
        <v>27</v>
      </c>
      <c r="AL24" s="77">
        <f t="shared" si="18"/>
        <v>200</v>
      </c>
      <c r="AM24" s="77">
        <f t="shared" si="19"/>
        <v>0</v>
      </c>
    </row>
    <row r="25" spans="1:39">
      <c r="A25" s="124">
        <v>14</v>
      </c>
      <c r="B25" s="385" t="s">
        <v>902</v>
      </c>
      <c r="C25" s="84">
        <v>90</v>
      </c>
      <c r="D25" s="781">
        <f t="shared" si="0"/>
        <v>5.4</v>
      </c>
      <c r="E25" s="781">
        <f t="shared" si="1"/>
        <v>3.6</v>
      </c>
      <c r="F25" s="781">
        <f t="shared" si="2"/>
        <v>9</v>
      </c>
      <c r="G25" s="84">
        <v>88</v>
      </c>
      <c r="H25" s="781">
        <f t="shared" si="3"/>
        <v>7.92</v>
      </c>
      <c r="I25" s="781">
        <f t="shared" si="4"/>
        <v>5.28</v>
      </c>
      <c r="J25" s="781">
        <f t="shared" si="5"/>
        <v>13.2</v>
      </c>
      <c r="K25" s="84">
        <v>39</v>
      </c>
      <c r="L25" s="781">
        <f t="shared" si="6"/>
        <v>4.68</v>
      </c>
      <c r="M25" s="781">
        <f t="shared" si="7"/>
        <v>3.12</v>
      </c>
      <c r="N25" s="781">
        <f t="shared" si="8"/>
        <v>7.8</v>
      </c>
      <c r="O25" s="84">
        <v>12</v>
      </c>
      <c r="P25" s="781">
        <f t="shared" si="9"/>
        <v>1.8</v>
      </c>
      <c r="Q25" s="781">
        <f t="shared" si="10"/>
        <v>1.2</v>
      </c>
      <c r="R25" s="781">
        <f t="shared" si="11"/>
        <v>3</v>
      </c>
      <c r="S25" s="84">
        <f t="shared" si="12"/>
        <v>229</v>
      </c>
      <c r="T25" s="781">
        <f t="shared" si="13"/>
        <v>19.8</v>
      </c>
      <c r="U25" s="781">
        <f t="shared" si="14"/>
        <v>13.2</v>
      </c>
      <c r="V25" s="781">
        <f t="shared" si="15"/>
        <v>33</v>
      </c>
      <c r="W25" s="797">
        <f t="shared" si="16"/>
        <v>51</v>
      </c>
      <c r="X25" s="797"/>
      <c r="Y25" s="77">
        <v>229</v>
      </c>
      <c r="Z25" s="782">
        <v>863</v>
      </c>
      <c r="AA25" s="782">
        <v>853</v>
      </c>
      <c r="AB25" s="782">
        <v>371</v>
      </c>
      <c r="AC25" s="782">
        <v>116</v>
      </c>
      <c r="AD25" s="77">
        <f t="shared" si="17"/>
        <v>2203</v>
      </c>
      <c r="AE25" s="77">
        <v>2203</v>
      </c>
      <c r="AF25" s="77">
        <v>2203</v>
      </c>
      <c r="AG25" s="77">
        <v>2203</v>
      </c>
      <c r="AH25" s="780">
        <v>90</v>
      </c>
      <c r="AI25" s="780">
        <v>88</v>
      </c>
      <c r="AJ25" s="780">
        <v>39</v>
      </c>
      <c r="AK25" s="780">
        <v>12</v>
      </c>
      <c r="AL25" s="77">
        <f t="shared" si="18"/>
        <v>229</v>
      </c>
      <c r="AM25" s="77">
        <f t="shared" si="19"/>
        <v>0</v>
      </c>
    </row>
    <row r="26" spans="1:39">
      <c r="A26" s="124">
        <v>15</v>
      </c>
      <c r="B26" s="385" t="s">
        <v>903</v>
      </c>
      <c r="C26" s="84">
        <v>137</v>
      </c>
      <c r="D26" s="781">
        <f t="shared" si="0"/>
        <v>8.2200000000000006</v>
      </c>
      <c r="E26" s="781">
        <f t="shared" si="1"/>
        <v>5.48</v>
      </c>
      <c r="F26" s="781">
        <f t="shared" si="2"/>
        <v>13.700000000000001</v>
      </c>
      <c r="G26" s="84">
        <v>95</v>
      </c>
      <c r="H26" s="781">
        <f t="shared" si="3"/>
        <v>8.5500000000000007</v>
      </c>
      <c r="I26" s="781">
        <f t="shared" si="4"/>
        <v>5.7</v>
      </c>
      <c r="J26" s="781">
        <f t="shared" si="5"/>
        <v>14.25</v>
      </c>
      <c r="K26" s="84">
        <v>36</v>
      </c>
      <c r="L26" s="781">
        <f t="shared" si="6"/>
        <v>4.32</v>
      </c>
      <c r="M26" s="781">
        <f t="shared" si="7"/>
        <v>2.88</v>
      </c>
      <c r="N26" s="781">
        <f t="shared" si="8"/>
        <v>7.2</v>
      </c>
      <c r="O26" s="84">
        <v>5</v>
      </c>
      <c r="P26" s="781">
        <f t="shared" si="9"/>
        <v>0.75</v>
      </c>
      <c r="Q26" s="781">
        <f t="shared" si="10"/>
        <v>0.5</v>
      </c>
      <c r="R26" s="781">
        <f t="shared" si="11"/>
        <v>1.25</v>
      </c>
      <c r="S26" s="84">
        <f t="shared" si="12"/>
        <v>273</v>
      </c>
      <c r="T26" s="781">
        <f t="shared" si="13"/>
        <v>21.840000000000003</v>
      </c>
      <c r="U26" s="781">
        <f t="shared" si="14"/>
        <v>14.559999999999999</v>
      </c>
      <c r="V26" s="781">
        <f t="shared" si="15"/>
        <v>36.400000000000006</v>
      </c>
      <c r="W26" s="797">
        <f t="shared" si="16"/>
        <v>41</v>
      </c>
      <c r="X26" s="797"/>
      <c r="Y26" s="77">
        <v>273</v>
      </c>
      <c r="Z26" s="782">
        <v>946</v>
      </c>
      <c r="AA26" s="782">
        <v>658</v>
      </c>
      <c r="AB26" s="782">
        <v>249</v>
      </c>
      <c r="AC26" s="782">
        <v>36</v>
      </c>
      <c r="AD26" s="77">
        <f t="shared" si="17"/>
        <v>1889</v>
      </c>
      <c r="AE26" s="77">
        <v>1889</v>
      </c>
      <c r="AF26" s="77">
        <v>1889</v>
      </c>
      <c r="AG26" s="77">
        <v>1889</v>
      </c>
      <c r="AH26" s="780">
        <v>137</v>
      </c>
      <c r="AI26" s="780">
        <v>95</v>
      </c>
      <c r="AJ26" s="780">
        <v>36</v>
      </c>
      <c r="AK26" s="780">
        <v>5</v>
      </c>
      <c r="AL26" s="77">
        <f t="shared" si="18"/>
        <v>273</v>
      </c>
      <c r="AM26" s="77">
        <f t="shared" si="19"/>
        <v>0</v>
      </c>
    </row>
    <row r="27" spans="1:39">
      <c r="A27" s="124">
        <v>16</v>
      </c>
      <c r="B27" s="385" t="s">
        <v>904</v>
      </c>
      <c r="C27" s="84">
        <v>44</v>
      </c>
      <c r="D27" s="781">
        <f t="shared" si="0"/>
        <v>2.64</v>
      </c>
      <c r="E27" s="781">
        <f t="shared" si="1"/>
        <v>1.76</v>
      </c>
      <c r="F27" s="781">
        <f t="shared" si="2"/>
        <v>4.4000000000000004</v>
      </c>
      <c r="G27" s="84">
        <v>63</v>
      </c>
      <c r="H27" s="781">
        <f t="shared" si="3"/>
        <v>5.67</v>
      </c>
      <c r="I27" s="781">
        <f t="shared" si="4"/>
        <v>3.78</v>
      </c>
      <c r="J27" s="781">
        <f t="shared" si="5"/>
        <v>9.4499999999999993</v>
      </c>
      <c r="K27" s="84">
        <v>33</v>
      </c>
      <c r="L27" s="781">
        <f t="shared" si="6"/>
        <v>3.96</v>
      </c>
      <c r="M27" s="781">
        <f t="shared" si="7"/>
        <v>2.64</v>
      </c>
      <c r="N27" s="781">
        <f t="shared" si="8"/>
        <v>6.6</v>
      </c>
      <c r="O27" s="84">
        <v>12</v>
      </c>
      <c r="P27" s="781">
        <f t="shared" si="9"/>
        <v>1.8</v>
      </c>
      <c r="Q27" s="781">
        <f t="shared" si="10"/>
        <v>1.2</v>
      </c>
      <c r="R27" s="781">
        <f t="shared" si="11"/>
        <v>3</v>
      </c>
      <c r="S27" s="84">
        <f t="shared" si="12"/>
        <v>152</v>
      </c>
      <c r="T27" s="781">
        <f t="shared" si="13"/>
        <v>14.07</v>
      </c>
      <c r="U27" s="781">
        <f t="shared" si="14"/>
        <v>9.379999999999999</v>
      </c>
      <c r="V27" s="781">
        <f t="shared" si="15"/>
        <v>23.45</v>
      </c>
      <c r="W27" s="797">
        <f t="shared" si="16"/>
        <v>45</v>
      </c>
      <c r="X27" s="797"/>
      <c r="Y27" s="77">
        <v>152</v>
      </c>
      <c r="Z27" s="782">
        <v>299</v>
      </c>
      <c r="AA27" s="782">
        <v>429</v>
      </c>
      <c r="AB27" s="782">
        <v>227</v>
      </c>
      <c r="AC27" s="782">
        <v>80</v>
      </c>
      <c r="AD27" s="77">
        <f t="shared" si="17"/>
        <v>1035</v>
      </c>
      <c r="AE27" s="77">
        <v>1035</v>
      </c>
      <c r="AF27" s="77">
        <v>1035</v>
      </c>
      <c r="AG27" s="77">
        <v>1035</v>
      </c>
      <c r="AH27" s="780">
        <v>44</v>
      </c>
      <c r="AI27" s="780">
        <v>63</v>
      </c>
      <c r="AJ27" s="780">
        <v>33</v>
      </c>
      <c r="AK27" s="780">
        <v>12</v>
      </c>
      <c r="AL27" s="77">
        <f t="shared" si="18"/>
        <v>152</v>
      </c>
      <c r="AM27" s="77">
        <f t="shared" si="19"/>
        <v>0</v>
      </c>
    </row>
    <row r="28" spans="1:39">
      <c r="A28" s="124">
        <v>17</v>
      </c>
      <c r="B28" s="385" t="s">
        <v>905</v>
      </c>
      <c r="C28" s="84">
        <v>213</v>
      </c>
      <c r="D28" s="781">
        <f t="shared" si="0"/>
        <v>12.78</v>
      </c>
      <c r="E28" s="781">
        <f t="shared" si="1"/>
        <v>8.52</v>
      </c>
      <c r="F28" s="781">
        <f t="shared" si="2"/>
        <v>21.299999999999997</v>
      </c>
      <c r="G28" s="84">
        <v>203</v>
      </c>
      <c r="H28" s="781">
        <f t="shared" si="3"/>
        <v>18.27</v>
      </c>
      <c r="I28" s="781">
        <f t="shared" si="4"/>
        <v>12.18</v>
      </c>
      <c r="J28" s="781">
        <f t="shared" si="5"/>
        <v>30.45</v>
      </c>
      <c r="K28" s="84">
        <v>58</v>
      </c>
      <c r="L28" s="781">
        <f t="shared" si="6"/>
        <v>6.96</v>
      </c>
      <c r="M28" s="781">
        <f t="shared" si="7"/>
        <v>4.6399999999999997</v>
      </c>
      <c r="N28" s="781">
        <f t="shared" si="8"/>
        <v>11.6</v>
      </c>
      <c r="O28" s="84">
        <v>17</v>
      </c>
      <c r="P28" s="781">
        <f t="shared" si="9"/>
        <v>2.5499999999999998</v>
      </c>
      <c r="Q28" s="781">
        <f t="shared" si="10"/>
        <v>1.7</v>
      </c>
      <c r="R28" s="781">
        <f t="shared" si="11"/>
        <v>4.25</v>
      </c>
      <c r="S28" s="84">
        <f t="shared" si="12"/>
        <v>491</v>
      </c>
      <c r="T28" s="781">
        <f t="shared" si="13"/>
        <v>40.559999999999995</v>
      </c>
      <c r="U28" s="781">
        <f t="shared" si="14"/>
        <v>27.04</v>
      </c>
      <c r="V28" s="781">
        <f t="shared" si="15"/>
        <v>67.599999999999994</v>
      </c>
      <c r="W28" s="797">
        <f t="shared" si="16"/>
        <v>75</v>
      </c>
      <c r="X28" s="797"/>
      <c r="Y28" s="77">
        <v>491</v>
      </c>
      <c r="Z28" s="782">
        <v>1459</v>
      </c>
      <c r="AA28" s="782">
        <v>1380</v>
      </c>
      <c r="AB28" s="782">
        <v>393</v>
      </c>
      <c r="AC28" s="782">
        <v>114</v>
      </c>
      <c r="AD28" s="77">
        <f t="shared" si="17"/>
        <v>3346</v>
      </c>
      <c r="AE28" s="77">
        <v>3346</v>
      </c>
      <c r="AF28" s="77">
        <v>3346</v>
      </c>
      <c r="AG28" s="77">
        <v>3346</v>
      </c>
      <c r="AH28" s="780">
        <v>213</v>
      </c>
      <c r="AI28" s="780">
        <v>203</v>
      </c>
      <c r="AJ28" s="780">
        <v>58</v>
      </c>
      <c r="AK28" s="780">
        <v>17</v>
      </c>
      <c r="AL28" s="77">
        <f t="shared" si="18"/>
        <v>491</v>
      </c>
      <c r="AM28" s="77">
        <f t="shared" si="19"/>
        <v>0</v>
      </c>
    </row>
    <row r="29" spans="1:39">
      <c r="A29" s="124">
        <v>18</v>
      </c>
      <c r="B29" s="385" t="s">
        <v>906</v>
      </c>
      <c r="C29" s="84">
        <v>129</v>
      </c>
      <c r="D29" s="781">
        <f t="shared" si="0"/>
        <v>7.74</v>
      </c>
      <c r="E29" s="781">
        <f t="shared" si="1"/>
        <v>5.16</v>
      </c>
      <c r="F29" s="781">
        <f t="shared" si="2"/>
        <v>12.9</v>
      </c>
      <c r="G29" s="84">
        <v>80</v>
      </c>
      <c r="H29" s="781">
        <f t="shared" si="3"/>
        <v>7.2</v>
      </c>
      <c r="I29" s="781">
        <f t="shared" si="4"/>
        <v>4.8</v>
      </c>
      <c r="J29" s="781">
        <f t="shared" si="5"/>
        <v>12</v>
      </c>
      <c r="K29" s="84">
        <v>33</v>
      </c>
      <c r="L29" s="781">
        <f t="shared" si="6"/>
        <v>3.96</v>
      </c>
      <c r="M29" s="781">
        <f t="shared" si="7"/>
        <v>2.64</v>
      </c>
      <c r="N29" s="781">
        <f t="shared" si="8"/>
        <v>6.6</v>
      </c>
      <c r="O29" s="84">
        <v>8</v>
      </c>
      <c r="P29" s="781">
        <f t="shared" si="9"/>
        <v>1.2</v>
      </c>
      <c r="Q29" s="781">
        <f t="shared" si="10"/>
        <v>0.8</v>
      </c>
      <c r="R29" s="781">
        <f t="shared" si="11"/>
        <v>2</v>
      </c>
      <c r="S29" s="84">
        <f t="shared" si="12"/>
        <v>250</v>
      </c>
      <c r="T29" s="781">
        <f t="shared" si="13"/>
        <v>20.100000000000001</v>
      </c>
      <c r="U29" s="781">
        <f t="shared" si="14"/>
        <v>13.400000000000002</v>
      </c>
      <c r="V29" s="781">
        <f t="shared" si="15"/>
        <v>33.5</v>
      </c>
      <c r="W29" s="797">
        <f t="shared" si="16"/>
        <v>41</v>
      </c>
      <c r="X29" s="797"/>
      <c r="Y29" s="77">
        <v>250</v>
      </c>
      <c r="Z29" s="782">
        <v>604</v>
      </c>
      <c r="AA29" s="782">
        <v>374</v>
      </c>
      <c r="AB29" s="782">
        <v>156</v>
      </c>
      <c r="AC29" s="782">
        <v>33</v>
      </c>
      <c r="AD29" s="77">
        <f t="shared" si="17"/>
        <v>1167</v>
      </c>
      <c r="AE29" s="77">
        <v>1167</v>
      </c>
      <c r="AF29" s="77">
        <v>1167</v>
      </c>
      <c r="AG29" s="77">
        <v>1167</v>
      </c>
      <c r="AH29" s="780">
        <v>129</v>
      </c>
      <c r="AI29" s="780">
        <v>80</v>
      </c>
      <c r="AJ29" s="780">
        <v>33</v>
      </c>
      <c r="AK29" s="780">
        <v>8</v>
      </c>
      <c r="AL29" s="77">
        <f t="shared" si="18"/>
        <v>250</v>
      </c>
      <c r="AM29" s="77">
        <f t="shared" si="19"/>
        <v>0</v>
      </c>
    </row>
    <row r="30" spans="1:39">
      <c r="A30" s="124">
        <v>19</v>
      </c>
      <c r="B30" s="385" t="s">
        <v>907</v>
      </c>
      <c r="C30" s="84">
        <v>88</v>
      </c>
      <c r="D30" s="781">
        <f t="shared" si="0"/>
        <v>5.28</v>
      </c>
      <c r="E30" s="781">
        <f t="shared" si="1"/>
        <v>3.52</v>
      </c>
      <c r="F30" s="781">
        <f t="shared" si="2"/>
        <v>8.8000000000000007</v>
      </c>
      <c r="G30" s="84">
        <v>98</v>
      </c>
      <c r="H30" s="781">
        <f t="shared" si="3"/>
        <v>8.82</v>
      </c>
      <c r="I30" s="781">
        <f t="shared" si="4"/>
        <v>5.88</v>
      </c>
      <c r="J30" s="781">
        <f t="shared" si="5"/>
        <v>14.7</v>
      </c>
      <c r="K30" s="84">
        <v>53</v>
      </c>
      <c r="L30" s="781">
        <f t="shared" si="6"/>
        <v>6.36</v>
      </c>
      <c r="M30" s="781">
        <f t="shared" si="7"/>
        <v>4.24</v>
      </c>
      <c r="N30" s="781">
        <f t="shared" si="8"/>
        <v>10.600000000000001</v>
      </c>
      <c r="O30" s="84">
        <v>23</v>
      </c>
      <c r="P30" s="781">
        <f t="shared" si="9"/>
        <v>3.45</v>
      </c>
      <c r="Q30" s="781">
        <f t="shared" si="10"/>
        <v>2.2999999999999998</v>
      </c>
      <c r="R30" s="781">
        <f t="shared" si="11"/>
        <v>5.75</v>
      </c>
      <c r="S30" s="84">
        <f t="shared" si="12"/>
        <v>262</v>
      </c>
      <c r="T30" s="781">
        <f t="shared" si="13"/>
        <v>23.91</v>
      </c>
      <c r="U30" s="781">
        <f t="shared" si="14"/>
        <v>15.940000000000001</v>
      </c>
      <c r="V30" s="781">
        <f t="shared" si="15"/>
        <v>39.85</v>
      </c>
      <c r="W30" s="797">
        <f t="shared" si="16"/>
        <v>76</v>
      </c>
      <c r="X30" s="797"/>
      <c r="Y30" s="77">
        <v>262</v>
      </c>
      <c r="Z30" s="782">
        <v>625</v>
      </c>
      <c r="AA30" s="782">
        <v>688</v>
      </c>
      <c r="AB30" s="782">
        <v>372</v>
      </c>
      <c r="AC30" s="782">
        <v>159</v>
      </c>
      <c r="AD30" s="77">
        <f t="shared" si="17"/>
        <v>1844</v>
      </c>
      <c r="AE30" s="77">
        <v>1844</v>
      </c>
      <c r="AF30" s="77">
        <v>1844</v>
      </c>
      <c r="AG30" s="77">
        <v>1844</v>
      </c>
      <c r="AH30" s="780">
        <v>88</v>
      </c>
      <c r="AI30" s="780">
        <v>98</v>
      </c>
      <c r="AJ30" s="780">
        <v>53</v>
      </c>
      <c r="AK30" s="780">
        <v>23</v>
      </c>
      <c r="AL30" s="77">
        <f t="shared" si="18"/>
        <v>262</v>
      </c>
      <c r="AM30" s="77">
        <f t="shared" si="19"/>
        <v>0</v>
      </c>
    </row>
    <row r="31" spans="1:39">
      <c r="A31" s="124">
        <v>20</v>
      </c>
      <c r="B31" s="385" t="s">
        <v>908</v>
      </c>
      <c r="C31" s="84">
        <v>77</v>
      </c>
      <c r="D31" s="781">
        <f t="shared" si="0"/>
        <v>4.62</v>
      </c>
      <c r="E31" s="781">
        <f t="shared" si="1"/>
        <v>3.08</v>
      </c>
      <c r="F31" s="781">
        <f t="shared" si="2"/>
        <v>7.7</v>
      </c>
      <c r="G31" s="84">
        <v>81</v>
      </c>
      <c r="H31" s="781">
        <f t="shared" si="3"/>
        <v>7.29</v>
      </c>
      <c r="I31" s="781">
        <f t="shared" si="4"/>
        <v>4.8600000000000003</v>
      </c>
      <c r="J31" s="781">
        <f t="shared" si="5"/>
        <v>12.15</v>
      </c>
      <c r="K31" s="84">
        <v>28</v>
      </c>
      <c r="L31" s="781">
        <f t="shared" si="6"/>
        <v>3.36</v>
      </c>
      <c r="M31" s="781">
        <f t="shared" si="7"/>
        <v>2.2400000000000002</v>
      </c>
      <c r="N31" s="781">
        <f t="shared" si="8"/>
        <v>5.6</v>
      </c>
      <c r="O31" s="84">
        <v>7</v>
      </c>
      <c r="P31" s="781">
        <f t="shared" si="9"/>
        <v>1.05</v>
      </c>
      <c r="Q31" s="781">
        <f t="shared" si="10"/>
        <v>0.7</v>
      </c>
      <c r="R31" s="781">
        <f t="shared" si="11"/>
        <v>1.75</v>
      </c>
      <c r="S31" s="84">
        <f t="shared" si="12"/>
        <v>193</v>
      </c>
      <c r="T31" s="781">
        <f t="shared" si="13"/>
        <v>16.32</v>
      </c>
      <c r="U31" s="781">
        <f t="shared" si="14"/>
        <v>10.879999999999999</v>
      </c>
      <c r="V31" s="781">
        <f t="shared" si="15"/>
        <v>27.2</v>
      </c>
      <c r="W31" s="797">
        <f t="shared" si="16"/>
        <v>35</v>
      </c>
      <c r="X31" s="797"/>
      <c r="Y31" s="77">
        <v>193</v>
      </c>
      <c r="Z31" s="782">
        <v>659</v>
      </c>
      <c r="AA31" s="782">
        <v>693</v>
      </c>
      <c r="AB31" s="782">
        <v>242</v>
      </c>
      <c r="AC31" s="782">
        <v>58</v>
      </c>
      <c r="AD31" s="77">
        <f t="shared" si="17"/>
        <v>1652</v>
      </c>
      <c r="AE31" s="77">
        <v>1652</v>
      </c>
      <c r="AF31" s="77">
        <v>1652</v>
      </c>
      <c r="AG31" s="77">
        <v>1652</v>
      </c>
      <c r="AH31" s="780">
        <v>77</v>
      </c>
      <c r="AI31" s="780">
        <v>81</v>
      </c>
      <c r="AJ31" s="780">
        <v>28</v>
      </c>
      <c r="AK31" s="780">
        <v>7</v>
      </c>
      <c r="AL31" s="77">
        <f t="shared" si="18"/>
        <v>193</v>
      </c>
      <c r="AM31" s="77">
        <f t="shared" si="19"/>
        <v>0</v>
      </c>
    </row>
    <row r="32" spans="1:39">
      <c r="A32" s="124">
        <v>21</v>
      </c>
      <c r="B32" s="385" t="s">
        <v>909</v>
      </c>
      <c r="C32" s="84">
        <v>109</v>
      </c>
      <c r="D32" s="781">
        <f t="shared" si="0"/>
        <v>6.54</v>
      </c>
      <c r="E32" s="781">
        <f t="shared" si="1"/>
        <v>4.3600000000000003</v>
      </c>
      <c r="F32" s="781">
        <f t="shared" si="2"/>
        <v>10.9</v>
      </c>
      <c r="G32" s="84">
        <v>92</v>
      </c>
      <c r="H32" s="781">
        <f t="shared" si="3"/>
        <v>8.2799999999999994</v>
      </c>
      <c r="I32" s="781">
        <f t="shared" si="4"/>
        <v>5.52</v>
      </c>
      <c r="J32" s="781">
        <f t="shared" si="5"/>
        <v>13.799999999999999</v>
      </c>
      <c r="K32" s="84">
        <v>16</v>
      </c>
      <c r="L32" s="781">
        <f t="shared" si="6"/>
        <v>1.92</v>
      </c>
      <c r="M32" s="781">
        <f t="shared" si="7"/>
        <v>1.28</v>
      </c>
      <c r="N32" s="781">
        <f t="shared" si="8"/>
        <v>3.2</v>
      </c>
      <c r="O32" s="84">
        <v>3</v>
      </c>
      <c r="P32" s="781">
        <f t="shared" si="9"/>
        <v>0.45</v>
      </c>
      <c r="Q32" s="781">
        <f t="shared" si="10"/>
        <v>0.3</v>
      </c>
      <c r="R32" s="781">
        <f t="shared" si="11"/>
        <v>0.75</v>
      </c>
      <c r="S32" s="84">
        <f t="shared" si="12"/>
        <v>220</v>
      </c>
      <c r="T32" s="781">
        <f t="shared" si="13"/>
        <v>17.190000000000001</v>
      </c>
      <c r="U32" s="781">
        <f t="shared" si="14"/>
        <v>11.459999999999999</v>
      </c>
      <c r="V32" s="781">
        <f t="shared" si="15"/>
        <v>28.65</v>
      </c>
      <c r="W32" s="797">
        <f t="shared" si="16"/>
        <v>19</v>
      </c>
      <c r="X32" s="797"/>
      <c r="Y32" s="77">
        <v>220</v>
      </c>
      <c r="Z32" s="782">
        <v>726</v>
      </c>
      <c r="AA32" s="782">
        <v>612</v>
      </c>
      <c r="AB32" s="782">
        <v>105</v>
      </c>
      <c r="AC32" s="782">
        <v>19</v>
      </c>
      <c r="AD32" s="77">
        <f t="shared" si="17"/>
        <v>1462</v>
      </c>
      <c r="AE32" s="77">
        <v>1462</v>
      </c>
      <c r="AF32" s="77">
        <v>1462</v>
      </c>
      <c r="AG32" s="77">
        <v>1462</v>
      </c>
      <c r="AH32" s="780">
        <v>109</v>
      </c>
      <c r="AI32" s="780">
        <v>92</v>
      </c>
      <c r="AJ32" s="780">
        <v>16</v>
      </c>
      <c r="AK32" s="780">
        <v>3</v>
      </c>
      <c r="AL32" s="77">
        <f t="shared" si="18"/>
        <v>220</v>
      </c>
      <c r="AM32" s="77">
        <f t="shared" si="19"/>
        <v>0</v>
      </c>
    </row>
    <row r="33" spans="1:39">
      <c r="A33" s="124">
        <v>22</v>
      </c>
      <c r="B33" s="385" t="s">
        <v>910</v>
      </c>
      <c r="C33" s="84">
        <v>176</v>
      </c>
      <c r="D33" s="781">
        <f t="shared" si="0"/>
        <v>10.56</v>
      </c>
      <c r="E33" s="781">
        <f t="shared" si="1"/>
        <v>7.04</v>
      </c>
      <c r="F33" s="781">
        <f t="shared" si="2"/>
        <v>17.600000000000001</v>
      </c>
      <c r="G33" s="84">
        <v>128</v>
      </c>
      <c r="H33" s="781">
        <f t="shared" si="3"/>
        <v>11.52</v>
      </c>
      <c r="I33" s="781">
        <f t="shared" si="4"/>
        <v>7.68</v>
      </c>
      <c r="J33" s="781">
        <f t="shared" si="5"/>
        <v>19.2</v>
      </c>
      <c r="K33" s="84">
        <v>51</v>
      </c>
      <c r="L33" s="781">
        <f t="shared" si="6"/>
        <v>6.12</v>
      </c>
      <c r="M33" s="781">
        <f t="shared" si="7"/>
        <v>4.08</v>
      </c>
      <c r="N33" s="781">
        <f t="shared" si="8"/>
        <v>10.199999999999999</v>
      </c>
      <c r="O33" s="84">
        <v>17</v>
      </c>
      <c r="P33" s="781">
        <f t="shared" si="9"/>
        <v>2.5499999999999998</v>
      </c>
      <c r="Q33" s="781">
        <f t="shared" si="10"/>
        <v>1.7</v>
      </c>
      <c r="R33" s="781">
        <f t="shared" si="11"/>
        <v>4.25</v>
      </c>
      <c r="S33" s="84">
        <f t="shared" si="12"/>
        <v>372</v>
      </c>
      <c r="T33" s="781">
        <f t="shared" si="13"/>
        <v>30.75</v>
      </c>
      <c r="U33" s="781">
        <f t="shared" si="14"/>
        <v>20.499999999999996</v>
      </c>
      <c r="V33" s="781">
        <f t="shared" si="15"/>
        <v>51.25</v>
      </c>
      <c r="W33" s="797">
        <f t="shared" si="16"/>
        <v>68</v>
      </c>
      <c r="X33" s="797"/>
      <c r="Y33" s="77">
        <v>372</v>
      </c>
      <c r="Z33" s="782">
        <v>1608</v>
      </c>
      <c r="AA33" s="782">
        <v>1174</v>
      </c>
      <c r="AB33" s="782">
        <v>468</v>
      </c>
      <c r="AC33" s="782">
        <v>151</v>
      </c>
      <c r="AD33" s="77">
        <f t="shared" si="17"/>
        <v>3401</v>
      </c>
      <c r="AE33" s="77">
        <v>3401</v>
      </c>
      <c r="AF33" s="77">
        <v>3401</v>
      </c>
      <c r="AG33" s="77">
        <v>3401</v>
      </c>
      <c r="AH33" s="780">
        <v>176</v>
      </c>
      <c r="AI33" s="780">
        <v>128</v>
      </c>
      <c r="AJ33" s="780">
        <v>51</v>
      </c>
      <c r="AK33" s="780">
        <v>17</v>
      </c>
      <c r="AL33" s="77">
        <f t="shared" si="18"/>
        <v>372</v>
      </c>
      <c r="AM33" s="77">
        <f t="shared" si="19"/>
        <v>0</v>
      </c>
    </row>
    <row r="34" spans="1:39">
      <c r="A34" s="124">
        <v>23</v>
      </c>
      <c r="B34" s="385" t="s">
        <v>911</v>
      </c>
      <c r="C34" s="84">
        <v>116</v>
      </c>
      <c r="D34" s="781">
        <f t="shared" si="0"/>
        <v>6.96</v>
      </c>
      <c r="E34" s="781">
        <f t="shared" si="1"/>
        <v>4.6399999999999997</v>
      </c>
      <c r="F34" s="781">
        <f t="shared" si="2"/>
        <v>11.6</v>
      </c>
      <c r="G34" s="84">
        <v>110</v>
      </c>
      <c r="H34" s="781">
        <f t="shared" si="3"/>
        <v>9.9</v>
      </c>
      <c r="I34" s="781">
        <f t="shared" si="4"/>
        <v>6.6</v>
      </c>
      <c r="J34" s="781">
        <f t="shared" si="5"/>
        <v>16.5</v>
      </c>
      <c r="K34" s="84">
        <v>45</v>
      </c>
      <c r="L34" s="781">
        <f t="shared" si="6"/>
        <v>5.4</v>
      </c>
      <c r="M34" s="781">
        <f t="shared" si="7"/>
        <v>3.6</v>
      </c>
      <c r="N34" s="781">
        <f t="shared" si="8"/>
        <v>9</v>
      </c>
      <c r="O34" s="84">
        <v>12</v>
      </c>
      <c r="P34" s="781">
        <f t="shared" si="9"/>
        <v>1.8</v>
      </c>
      <c r="Q34" s="781">
        <f t="shared" si="10"/>
        <v>1.2</v>
      </c>
      <c r="R34" s="781">
        <f t="shared" si="11"/>
        <v>3</v>
      </c>
      <c r="S34" s="84">
        <f t="shared" si="12"/>
        <v>283</v>
      </c>
      <c r="T34" s="781">
        <f t="shared" si="13"/>
        <v>24.06</v>
      </c>
      <c r="U34" s="781">
        <f t="shared" si="14"/>
        <v>16.04</v>
      </c>
      <c r="V34" s="781">
        <f t="shared" si="15"/>
        <v>40.099999999999994</v>
      </c>
      <c r="W34" s="797">
        <f t="shared" si="16"/>
        <v>57</v>
      </c>
      <c r="X34" s="797"/>
      <c r="Y34" s="77">
        <v>283</v>
      </c>
      <c r="Z34" s="782">
        <v>554</v>
      </c>
      <c r="AA34" s="782">
        <v>525</v>
      </c>
      <c r="AB34" s="782">
        <v>215</v>
      </c>
      <c r="AC34" s="782">
        <v>54</v>
      </c>
      <c r="AD34" s="77">
        <f t="shared" si="17"/>
        <v>1348</v>
      </c>
      <c r="AE34" s="77">
        <v>1348</v>
      </c>
      <c r="AF34" s="77">
        <v>1348</v>
      </c>
      <c r="AG34" s="77">
        <v>1348</v>
      </c>
      <c r="AH34" s="780">
        <v>116</v>
      </c>
      <c r="AI34" s="780">
        <v>110</v>
      </c>
      <c r="AJ34" s="780">
        <v>45</v>
      </c>
      <c r="AK34" s="780">
        <v>12</v>
      </c>
      <c r="AL34" s="77">
        <f t="shared" si="18"/>
        <v>283</v>
      </c>
      <c r="AM34" s="77">
        <f t="shared" si="19"/>
        <v>0</v>
      </c>
    </row>
    <row r="35" spans="1:39">
      <c r="A35" s="124">
        <v>24</v>
      </c>
      <c r="B35" s="385" t="s">
        <v>912</v>
      </c>
      <c r="C35" s="84">
        <v>38</v>
      </c>
      <c r="D35" s="781">
        <f t="shared" si="0"/>
        <v>2.2799999999999998</v>
      </c>
      <c r="E35" s="781">
        <f t="shared" si="1"/>
        <v>1.52</v>
      </c>
      <c r="F35" s="781">
        <f t="shared" si="2"/>
        <v>3.8</v>
      </c>
      <c r="G35" s="84">
        <v>78</v>
      </c>
      <c r="H35" s="781">
        <f t="shared" si="3"/>
        <v>7.02</v>
      </c>
      <c r="I35" s="781">
        <f t="shared" si="4"/>
        <v>4.68</v>
      </c>
      <c r="J35" s="781">
        <f t="shared" si="5"/>
        <v>11.7</v>
      </c>
      <c r="K35" s="84">
        <v>42</v>
      </c>
      <c r="L35" s="781">
        <f t="shared" si="6"/>
        <v>5.04</v>
      </c>
      <c r="M35" s="781">
        <f t="shared" si="7"/>
        <v>3.36</v>
      </c>
      <c r="N35" s="781">
        <f t="shared" si="8"/>
        <v>8.4</v>
      </c>
      <c r="O35" s="84">
        <v>9</v>
      </c>
      <c r="P35" s="781">
        <f t="shared" si="9"/>
        <v>1.35</v>
      </c>
      <c r="Q35" s="781">
        <f t="shared" si="10"/>
        <v>0.9</v>
      </c>
      <c r="R35" s="781">
        <f t="shared" si="11"/>
        <v>2.25</v>
      </c>
      <c r="S35" s="84">
        <f t="shared" si="12"/>
        <v>167</v>
      </c>
      <c r="T35" s="781">
        <f t="shared" si="13"/>
        <v>15.69</v>
      </c>
      <c r="U35" s="781">
        <f t="shared" si="14"/>
        <v>10.459999999999999</v>
      </c>
      <c r="V35" s="781">
        <f t="shared" si="15"/>
        <v>26.15</v>
      </c>
      <c r="W35" s="797">
        <f t="shared" si="16"/>
        <v>51</v>
      </c>
      <c r="X35" s="797"/>
      <c r="Y35" s="77">
        <v>167</v>
      </c>
      <c r="Z35" s="782">
        <v>125</v>
      </c>
      <c r="AA35" s="782">
        <v>254</v>
      </c>
      <c r="AB35" s="782">
        <v>135</v>
      </c>
      <c r="AC35" s="782">
        <v>31</v>
      </c>
      <c r="AD35" s="77">
        <f t="shared" si="17"/>
        <v>545</v>
      </c>
      <c r="AE35" s="77">
        <v>545</v>
      </c>
      <c r="AF35" s="77">
        <v>545</v>
      </c>
      <c r="AG35" s="77">
        <v>545</v>
      </c>
      <c r="AH35" s="780">
        <v>38</v>
      </c>
      <c r="AI35" s="780">
        <v>78</v>
      </c>
      <c r="AJ35" s="780">
        <v>42</v>
      </c>
      <c r="AK35" s="780">
        <v>9</v>
      </c>
      <c r="AL35" s="77">
        <f t="shared" si="18"/>
        <v>167</v>
      </c>
      <c r="AM35" s="77">
        <f t="shared" si="19"/>
        <v>0</v>
      </c>
    </row>
    <row r="36" spans="1:39">
      <c r="A36" s="124">
        <v>25</v>
      </c>
      <c r="B36" s="385" t="s">
        <v>913</v>
      </c>
      <c r="C36" s="84">
        <v>143</v>
      </c>
      <c r="D36" s="781">
        <f t="shared" si="0"/>
        <v>8.58</v>
      </c>
      <c r="E36" s="781">
        <f t="shared" si="1"/>
        <v>5.72</v>
      </c>
      <c r="F36" s="781">
        <f t="shared" si="2"/>
        <v>14.3</v>
      </c>
      <c r="G36" s="84">
        <v>128</v>
      </c>
      <c r="H36" s="781">
        <f t="shared" si="3"/>
        <v>11.52</v>
      </c>
      <c r="I36" s="781">
        <f t="shared" si="4"/>
        <v>7.68</v>
      </c>
      <c r="J36" s="781">
        <f t="shared" si="5"/>
        <v>19.2</v>
      </c>
      <c r="K36" s="84">
        <v>56</v>
      </c>
      <c r="L36" s="781">
        <f t="shared" si="6"/>
        <v>6.72</v>
      </c>
      <c r="M36" s="781">
        <f t="shared" si="7"/>
        <v>4.4800000000000004</v>
      </c>
      <c r="N36" s="781">
        <f t="shared" si="8"/>
        <v>11.2</v>
      </c>
      <c r="O36" s="84">
        <v>10</v>
      </c>
      <c r="P36" s="781">
        <f t="shared" si="9"/>
        <v>1.5</v>
      </c>
      <c r="Q36" s="781">
        <f t="shared" si="10"/>
        <v>1</v>
      </c>
      <c r="R36" s="781">
        <f t="shared" si="11"/>
        <v>2.5</v>
      </c>
      <c r="S36" s="84">
        <f t="shared" si="12"/>
        <v>337</v>
      </c>
      <c r="T36" s="781">
        <f t="shared" si="13"/>
        <v>28.32</v>
      </c>
      <c r="U36" s="781">
        <f t="shared" si="14"/>
        <v>18.88</v>
      </c>
      <c r="V36" s="781">
        <f t="shared" si="15"/>
        <v>47.2</v>
      </c>
      <c r="W36" s="797">
        <f t="shared" si="16"/>
        <v>66</v>
      </c>
      <c r="X36" s="797"/>
      <c r="Y36" s="77">
        <v>337</v>
      </c>
      <c r="Z36" s="782">
        <v>1235</v>
      </c>
      <c r="AA36" s="782">
        <v>1107</v>
      </c>
      <c r="AB36" s="782">
        <v>482</v>
      </c>
      <c r="AC36" s="782">
        <v>82</v>
      </c>
      <c r="AD36" s="77">
        <f t="shared" si="17"/>
        <v>2906</v>
      </c>
      <c r="AE36" s="77">
        <v>2906</v>
      </c>
      <c r="AF36" s="77">
        <v>2906</v>
      </c>
      <c r="AG36" s="77">
        <v>2906</v>
      </c>
      <c r="AH36" s="780">
        <v>143</v>
      </c>
      <c r="AI36" s="780">
        <v>128</v>
      </c>
      <c r="AJ36" s="780">
        <v>56</v>
      </c>
      <c r="AK36" s="780">
        <v>10</v>
      </c>
      <c r="AL36" s="77">
        <f t="shared" si="18"/>
        <v>337</v>
      </c>
      <c r="AM36" s="77">
        <f t="shared" si="19"/>
        <v>0</v>
      </c>
    </row>
    <row r="37" spans="1:39">
      <c r="A37" s="124">
        <v>26</v>
      </c>
      <c r="B37" s="385" t="s">
        <v>914</v>
      </c>
      <c r="C37" s="84">
        <v>61</v>
      </c>
      <c r="D37" s="781">
        <f t="shared" si="0"/>
        <v>3.66</v>
      </c>
      <c r="E37" s="781">
        <f t="shared" si="1"/>
        <v>2.44</v>
      </c>
      <c r="F37" s="781">
        <f t="shared" si="2"/>
        <v>6.1</v>
      </c>
      <c r="G37" s="84">
        <v>105</v>
      </c>
      <c r="H37" s="781">
        <f t="shared" si="3"/>
        <v>9.4499999999999993</v>
      </c>
      <c r="I37" s="781">
        <f t="shared" si="4"/>
        <v>6.3</v>
      </c>
      <c r="J37" s="781">
        <f t="shared" si="5"/>
        <v>15.75</v>
      </c>
      <c r="K37" s="84">
        <v>41</v>
      </c>
      <c r="L37" s="781">
        <f t="shared" si="6"/>
        <v>4.92</v>
      </c>
      <c r="M37" s="781">
        <f t="shared" si="7"/>
        <v>3.28</v>
      </c>
      <c r="N37" s="781">
        <f t="shared" si="8"/>
        <v>8.1999999999999993</v>
      </c>
      <c r="O37" s="84">
        <v>9</v>
      </c>
      <c r="P37" s="781">
        <f t="shared" si="9"/>
        <v>1.35</v>
      </c>
      <c r="Q37" s="781">
        <f t="shared" si="10"/>
        <v>0.9</v>
      </c>
      <c r="R37" s="781">
        <f t="shared" si="11"/>
        <v>2.25</v>
      </c>
      <c r="S37" s="84">
        <f t="shared" si="12"/>
        <v>216</v>
      </c>
      <c r="T37" s="781">
        <f t="shared" si="13"/>
        <v>19.380000000000003</v>
      </c>
      <c r="U37" s="781">
        <f t="shared" si="14"/>
        <v>12.92</v>
      </c>
      <c r="V37" s="781">
        <f t="shared" si="15"/>
        <v>32.300000000000004</v>
      </c>
      <c r="W37" s="797">
        <f t="shared" si="16"/>
        <v>50</v>
      </c>
      <c r="X37" s="797"/>
      <c r="Y37" s="77">
        <v>216</v>
      </c>
      <c r="Z37" s="782">
        <v>487</v>
      </c>
      <c r="AA37" s="782">
        <v>841</v>
      </c>
      <c r="AB37" s="782">
        <v>327</v>
      </c>
      <c r="AC37" s="782">
        <v>72</v>
      </c>
      <c r="AD37" s="77">
        <f t="shared" si="17"/>
        <v>1727</v>
      </c>
      <c r="AE37" s="77">
        <v>1727</v>
      </c>
      <c r="AF37" s="77">
        <v>1727</v>
      </c>
      <c r="AG37" s="77">
        <v>1727</v>
      </c>
      <c r="AH37" s="780">
        <v>61</v>
      </c>
      <c r="AI37" s="780">
        <v>105</v>
      </c>
      <c r="AJ37" s="780">
        <v>41</v>
      </c>
      <c r="AK37" s="780">
        <v>9</v>
      </c>
      <c r="AL37" s="77">
        <f t="shared" si="18"/>
        <v>216</v>
      </c>
      <c r="AM37" s="77">
        <f t="shared" si="19"/>
        <v>0</v>
      </c>
    </row>
    <row r="38" spans="1:39">
      <c r="A38" s="124">
        <v>27</v>
      </c>
      <c r="B38" s="385" t="s">
        <v>915</v>
      </c>
      <c r="C38" s="84">
        <v>77</v>
      </c>
      <c r="D38" s="781">
        <f t="shared" si="0"/>
        <v>4.62</v>
      </c>
      <c r="E38" s="781">
        <f t="shared" si="1"/>
        <v>3.08</v>
      </c>
      <c r="F38" s="781">
        <f t="shared" si="2"/>
        <v>7.7</v>
      </c>
      <c r="G38" s="84">
        <v>88</v>
      </c>
      <c r="H38" s="781">
        <f t="shared" si="3"/>
        <v>7.92</v>
      </c>
      <c r="I38" s="781">
        <f t="shared" si="4"/>
        <v>5.28</v>
      </c>
      <c r="J38" s="781">
        <f t="shared" si="5"/>
        <v>13.2</v>
      </c>
      <c r="K38" s="84">
        <v>31</v>
      </c>
      <c r="L38" s="781">
        <f t="shared" si="6"/>
        <v>3.72</v>
      </c>
      <c r="M38" s="781">
        <f t="shared" si="7"/>
        <v>2.48</v>
      </c>
      <c r="N38" s="781">
        <f t="shared" si="8"/>
        <v>6.2</v>
      </c>
      <c r="O38" s="84">
        <v>11</v>
      </c>
      <c r="P38" s="781">
        <f t="shared" si="9"/>
        <v>1.65</v>
      </c>
      <c r="Q38" s="781">
        <f t="shared" si="10"/>
        <v>1.1000000000000001</v>
      </c>
      <c r="R38" s="781">
        <f t="shared" si="11"/>
        <v>2.75</v>
      </c>
      <c r="S38" s="84">
        <f t="shared" si="12"/>
        <v>207</v>
      </c>
      <c r="T38" s="781">
        <f t="shared" si="13"/>
        <v>17.909999999999997</v>
      </c>
      <c r="U38" s="781">
        <f t="shared" si="14"/>
        <v>11.94</v>
      </c>
      <c r="V38" s="781">
        <f t="shared" si="15"/>
        <v>29.849999999999994</v>
      </c>
      <c r="W38" s="797">
        <f t="shared" si="16"/>
        <v>42</v>
      </c>
      <c r="X38" s="797"/>
      <c r="Y38" s="77">
        <v>207</v>
      </c>
      <c r="Z38" s="782">
        <v>497</v>
      </c>
      <c r="AA38" s="782">
        <v>569</v>
      </c>
      <c r="AB38" s="782">
        <v>201</v>
      </c>
      <c r="AC38" s="782">
        <v>70</v>
      </c>
      <c r="AD38" s="77">
        <f t="shared" si="17"/>
        <v>1337</v>
      </c>
      <c r="AE38" s="77">
        <v>1337</v>
      </c>
      <c r="AF38" s="77">
        <v>1337</v>
      </c>
      <c r="AG38" s="77">
        <v>1337</v>
      </c>
      <c r="AH38" s="780">
        <v>77</v>
      </c>
      <c r="AI38" s="780">
        <v>88</v>
      </c>
      <c r="AJ38" s="780">
        <v>31</v>
      </c>
      <c r="AK38" s="780">
        <v>11</v>
      </c>
      <c r="AL38" s="77">
        <f t="shared" si="18"/>
        <v>207</v>
      </c>
      <c r="AM38" s="77">
        <f t="shared" si="19"/>
        <v>0</v>
      </c>
    </row>
    <row r="39" spans="1:39">
      <c r="A39" s="124">
        <v>28</v>
      </c>
      <c r="B39" s="385" t="s">
        <v>916</v>
      </c>
      <c r="C39" s="84">
        <v>121</v>
      </c>
      <c r="D39" s="781">
        <f t="shared" si="0"/>
        <v>7.26</v>
      </c>
      <c r="E39" s="781">
        <f t="shared" si="1"/>
        <v>4.84</v>
      </c>
      <c r="F39" s="781">
        <f t="shared" si="2"/>
        <v>12.1</v>
      </c>
      <c r="G39" s="84">
        <v>135</v>
      </c>
      <c r="H39" s="781">
        <f t="shared" si="3"/>
        <v>12.15</v>
      </c>
      <c r="I39" s="781">
        <f t="shared" si="4"/>
        <v>8.1</v>
      </c>
      <c r="J39" s="781">
        <f t="shared" si="5"/>
        <v>20.25</v>
      </c>
      <c r="K39" s="84">
        <v>54</v>
      </c>
      <c r="L39" s="781">
        <f t="shared" si="6"/>
        <v>6.48</v>
      </c>
      <c r="M39" s="781">
        <f t="shared" si="7"/>
        <v>4.32</v>
      </c>
      <c r="N39" s="781">
        <f t="shared" si="8"/>
        <v>10.8</v>
      </c>
      <c r="O39" s="84">
        <v>5</v>
      </c>
      <c r="P39" s="781">
        <f t="shared" si="9"/>
        <v>0.75</v>
      </c>
      <c r="Q39" s="781">
        <f t="shared" si="10"/>
        <v>0.5</v>
      </c>
      <c r="R39" s="781">
        <f t="shared" si="11"/>
        <v>1.25</v>
      </c>
      <c r="S39" s="84">
        <f t="shared" si="12"/>
        <v>315</v>
      </c>
      <c r="T39" s="781">
        <f t="shared" si="13"/>
        <v>26.64</v>
      </c>
      <c r="U39" s="781">
        <f t="shared" si="14"/>
        <v>17.759999999999998</v>
      </c>
      <c r="V39" s="781">
        <f t="shared" si="15"/>
        <v>44.4</v>
      </c>
      <c r="W39" s="797">
        <f t="shared" si="16"/>
        <v>59</v>
      </c>
      <c r="X39" s="797"/>
      <c r="Y39" s="77">
        <v>315</v>
      </c>
      <c r="Z39" s="782">
        <v>387</v>
      </c>
      <c r="AA39" s="782">
        <v>431</v>
      </c>
      <c r="AB39" s="782">
        <v>172</v>
      </c>
      <c r="AC39" s="782">
        <v>14</v>
      </c>
      <c r="AD39" s="77">
        <f t="shared" si="17"/>
        <v>1004</v>
      </c>
      <c r="AE39" s="77">
        <v>1004</v>
      </c>
      <c r="AF39" s="77">
        <v>1004</v>
      </c>
      <c r="AG39" s="77">
        <v>1004</v>
      </c>
      <c r="AH39" s="780">
        <v>121</v>
      </c>
      <c r="AI39" s="780">
        <v>135</v>
      </c>
      <c r="AJ39" s="780">
        <v>54</v>
      </c>
      <c r="AK39" s="780">
        <v>5</v>
      </c>
      <c r="AL39" s="77">
        <f t="shared" si="18"/>
        <v>315</v>
      </c>
      <c r="AM39" s="77">
        <f t="shared" si="19"/>
        <v>0</v>
      </c>
    </row>
    <row r="40" spans="1:39">
      <c r="A40" s="124">
        <v>29</v>
      </c>
      <c r="B40" s="385" t="s">
        <v>917</v>
      </c>
      <c r="C40" s="84">
        <v>54</v>
      </c>
      <c r="D40" s="781">
        <f t="shared" si="0"/>
        <v>3.24</v>
      </c>
      <c r="E40" s="781">
        <f t="shared" si="1"/>
        <v>2.16</v>
      </c>
      <c r="F40" s="781">
        <f t="shared" si="2"/>
        <v>5.4</v>
      </c>
      <c r="G40" s="84">
        <v>70</v>
      </c>
      <c r="H40" s="781">
        <f t="shared" si="3"/>
        <v>6.3</v>
      </c>
      <c r="I40" s="781">
        <f t="shared" si="4"/>
        <v>4.2</v>
      </c>
      <c r="J40" s="781">
        <f t="shared" si="5"/>
        <v>10.5</v>
      </c>
      <c r="K40" s="84">
        <v>29</v>
      </c>
      <c r="L40" s="781">
        <f t="shared" si="6"/>
        <v>3.48</v>
      </c>
      <c r="M40" s="781">
        <f t="shared" si="7"/>
        <v>2.3199999999999998</v>
      </c>
      <c r="N40" s="781">
        <f t="shared" si="8"/>
        <v>5.8</v>
      </c>
      <c r="O40" s="84">
        <v>6</v>
      </c>
      <c r="P40" s="781">
        <f t="shared" si="9"/>
        <v>0.9</v>
      </c>
      <c r="Q40" s="781">
        <f t="shared" si="10"/>
        <v>0.6</v>
      </c>
      <c r="R40" s="781">
        <f t="shared" si="11"/>
        <v>1.5</v>
      </c>
      <c r="S40" s="84">
        <f t="shared" si="12"/>
        <v>159</v>
      </c>
      <c r="T40" s="781">
        <f t="shared" si="13"/>
        <v>13.92</v>
      </c>
      <c r="U40" s="781">
        <f t="shared" si="14"/>
        <v>9.2799999999999994</v>
      </c>
      <c r="V40" s="781">
        <f t="shared" si="15"/>
        <v>23.2</v>
      </c>
      <c r="W40" s="797">
        <f t="shared" si="16"/>
        <v>35</v>
      </c>
      <c r="X40" s="797"/>
      <c r="Y40" s="77">
        <v>159</v>
      </c>
      <c r="Z40" s="782">
        <v>342</v>
      </c>
      <c r="AA40" s="782">
        <v>444</v>
      </c>
      <c r="AB40" s="782">
        <v>184</v>
      </c>
      <c r="AC40" s="782">
        <v>33</v>
      </c>
      <c r="AD40" s="77">
        <f t="shared" si="17"/>
        <v>1003</v>
      </c>
      <c r="AE40" s="77">
        <v>1003</v>
      </c>
      <c r="AF40" s="77">
        <v>1003</v>
      </c>
      <c r="AG40" s="77">
        <v>1003</v>
      </c>
      <c r="AH40" s="780">
        <v>54</v>
      </c>
      <c r="AI40" s="780">
        <v>70</v>
      </c>
      <c r="AJ40" s="780">
        <v>29</v>
      </c>
      <c r="AK40" s="780">
        <v>6</v>
      </c>
      <c r="AL40" s="77">
        <f t="shared" si="18"/>
        <v>159</v>
      </c>
      <c r="AM40" s="77">
        <f t="shared" si="19"/>
        <v>0</v>
      </c>
    </row>
    <row r="41" spans="1:39">
      <c r="A41" s="124">
        <v>30</v>
      </c>
      <c r="B41" s="385" t="s">
        <v>918</v>
      </c>
      <c r="C41" s="84">
        <v>112</v>
      </c>
      <c r="D41" s="781">
        <f t="shared" si="0"/>
        <v>6.72</v>
      </c>
      <c r="E41" s="781">
        <f t="shared" si="1"/>
        <v>4.4800000000000004</v>
      </c>
      <c r="F41" s="781">
        <f t="shared" si="2"/>
        <v>11.2</v>
      </c>
      <c r="G41" s="84">
        <v>126</v>
      </c>
      <c r="H41" s="781">
        <f t="shared" si="3"/>
        <v>11.34</v>
      </c>
      <c r="I41" s="781">
        <f t="shared" si="4"/>
        <v>7.56</v>
      </c>
      <c r="J41" s="781">
        <f t="shared" si="5"/>
        <v>18.899999999999999</v>
      </c>
      <c r="K41" s="84">
        <v>38</v>
      </c>
      <c r="L41" s="781">
        <f t="shared" si="6"/>
        <v>4.5599999999999996</v>
      </c>
      <c r="M41" s="781">
        <f t="shared" si="7"/>
        <v>3.04</v>
      </c>
      <c r="N41" s="781">
        <f t="shared" si="8"/>
        <v>7.6</v>
      </c>
      <c r="O41" s="84">
        <v>4</v>
      </c>
      <c r="P41" s="781">
        <f t="shared" si="9"/>
        <v>0.6</v>
      </c>
      <c r="Q41" s="781">
        <f t="shared" si="10"/>
        <v>0.4</v>
      </c>
      <c r="R41" s="781">
        <f t="shared" si="11"/>
        <v>1</v>
      </c>
      <c r="S41" s="84">
        <f t="shared" si="12"/>
        <v>280</v>
      </c>
      <c r="T41" s="781">
        <f t="shared" si="13"/>
        <v>23.22</v>
      </c>
      <c r="U41" s="781">
        <f t="shared" si="14"/>
        <v>15.479999999999999</v>
      </c>
      <c r="V41" s="781">
        <f t="shared" si="15"/>
        <v>38.699999999999996</v>
      </c>
      <c r="W41" s="797">
        <f t="shared" si="16"/>
        <v>42</v>
      </c>
      <c r="X41" s="797"/>
      <c r="Y41" s="77">
        <v>280</v>
      </c>
      <c r="Z41" s="782">
        <v>721</v>
      </c>
      <c r="AA41" s="782">
        <v>812</v>
      </c>
      <c r="AB41" s="782">
        <v>242</v>
      </c>
      <c r="AC41" s="782">
        <v>28</v>
      </c>
      <c r="AD41" s="77">
        <f t="shared" si="17"/>
        <v>1803</v>
      </c>
      <c r="AE41" s="77">
        <v>1803</v>
      </c>
      <c r="AF41" s="77">
        <v>1803</v>
      </c>
      <c r="AG41" s="77">
        <v>1803</v>
      </c>
      <c r="AH41" s="780">
        <v>112</v>
      </c>
      <c r="AI41" s="780">
        <v>126</v>
      </c>
      <c r="AJ41" s="780">
        <v>38</v>
      </c>
      <c r="AK41" s="780">
        <v>4</v>
      </c>
      <c r="AL41" s="77">
        <f t="shared" si="18"/>
        <v>280</v>
      </c>
      <c r="AM41" s="77">
        <f t="shared" si="19"/>
        <v>0</v>
      </c>
    </row>
    <row r="42" spans="1:39">
      <c r="A42" s="124">
        <v>31</v>
      </c>
      <c r="B42" s="385" t="s">
        <v>919</v>
      </c>
      <c r="C42" s="84">
        <v>58</v>
      </c>
      <c r="D42" s="781">
        <f t="shared" si="0"/>
        <v>3.48</v>
      </c>
      <c r="E42" s="781">
        <f t="shared" si="1"/>
        <v>2.3199999999999998</v>
      </c>
      <c r="F42" s="781">
        <f t="shared" si="2"/>
        <v>5.8</v>
      </c>
      <c r="G42" s="84">
        <v>103</v>
      </c>
      <c r="H42" s="781">
        <f t="shared" si="3"/>
        <v>9.27</v>
      </c>
      <c r="I42" s="781">
        <f t="shared" si="4"/>
        <v>6.18</v>
      </c>
      <c r="J42" s="781">
        <f t="shared" si="5"/>
        <v>15.45</v>
      </c>
      <c r="K42" s="84">
        <v>51</v>
      </c>
      <c r="L42" s="781">
        <f t="shared" si="6"/>
        <v>6.12</v>
      </c>
      <c r="M42" s="781">
        <f t="shared" si="7"/>
        <v>4.08</v>
      </c>
      <c r="N42" s="781">
        <f t="shared" si="8"/>
        <v>10.199999999999999</v>
      </c>
      <c r="O42" s="84">
        <v>23</v>
      </c>
      <c r="P42" s="781">
        <f t="shared" si="9"/>
        <v>3.45</v>
      </c>
      <c r="Q42" s="781">
        <f t="shared" si="10"/>
        <v>2.2999999999999998</v>
      </c>
      <c r="R42" s="781">
        <f t="shared" si="11"/>
        <v>5.75</v>
      </c>
      <c r="S42" s="84">
        <f t="shared" si="12"/>
        <v>235</v>
      </c>
      <c r="T42" s="781">
        <f t="shared" si="13"/>
        <v>22.32</v>
      </c>
      <c r="U42" s="781">
        <f t="shared" si="14"/>
        <v>14.879999999999999</v>
      </c>
      <c r="V42" s="781">
        <f t="shared" si="15"/>
        <v>37.200000000000003</v>
      </c>
      <c r="W42" s="797">
        <f t="shared" si="16"/>
        <v>74</v>
      </c>
      <c r="X42" s="797"/>
      <c r="Y42" s="77">
        <v>235</v>
      </c>
      <c r="Z42" s="782">
        <v>220</v>
      </c>
      <c r="AA42" s="782">
        <v>393</v>
      </c>
      <c r="AB42" s="782">
        <v>197</v>
      </c>
      <c r="AC42" s="782">
        <v>89</v>
      </c>
      <c r="AD42" s="77">
        <f t="shared" si="17"/>
        <v>899</v>
      </c>
      <c r="AE42" s="77">
        <v>899</v>
      </c>
      <c r="AF42" s="77">
        <v>899</v>
      </c>
      <c r="AG42" s="77">
        <v>899</v>
      </c>
      <c r="AH42" s="780">
        <v>58</v>
      </c>
      <c r="AI42" s="780">
        <v>103</v>
      </c>
      <c r="AJ42" s="780">
        <v>51</v>
      </c>
      <c r="AK42" s="780">
        <v>23</v>
      </c>
      <c r="AL42" s="77">
        <f t="shared" si="18"/>
        <v>235</v>
      </c>
      <c r="AM42" s="77">
        <f t="shared" si="19"/>
        <v>0</v>
      </c>
    </row>
    <row r="43" spans="1:39">
      <c r="A43" s="124">
        <v>32</v>
      </c>
      <c r="B43" s="385" t="s">
        <v>920</v>
      </c>
      <c r="C43" s="84">
        <v>92</v>
      </c>
      <c r="D43" s="781">
        <f t="shared" si="0"/>
        <v>5.52</v>
      </c>
      <c r="E43" s="781">
        <f t="shared" si="1"/>
        <v>3.68</v>
      </c>
      <c r="F43" s="781">
        <f t="shared" si="2"/>
        <v>9.1999999999999993</v>
      </c>
      <c r="G43" s="84">
        <v>86</v>
      </c>
      <c r="H43" s="781">
        <f t="shared" si="3"/>
        <v>7.74</v>
      </c>
      <c r="I43" s="781">
        <f t="shared" si="4"/>
        <v>5.16</v>
      </c>
      <c r="J43" s="781">
        <f t="shared" si="5"/>
        <v>12.9</v>
      </c>
      <c r="K43" s="84">
        <v>21</v>
      </c>
      <c r="L43" s="781">
        <f t="shared" si="6"/>
        <v>2.52</v>
      </c>
      <c r="M43" s="781">
        <f t="shared" si="7"/>
        <v>1.68</v>
      </c>
      <c r="N43" s="781">
        <f t="shared" si="8"/>
        <v>4.2</v>
      </c>
      <c r="O43" s="84">
        <v>2</v>
      </c>
      <c r="P43" s="781">
        <f t="shared" si="9"/>
        <v>0.3</v>
      </c>
      <c r="Q43" s="781">
        <f t="shared" si="10"/>
        <v>0.2</v>
      </c>
      <c r="R43" s="781">
        <f t="shared" si="11"/>
        <v>0.5</v>
      </c>
      <c r="S43" s="84">
        <f t="shared" si="12"/>
        <v>201</v>
      </c>
      <c r="T43" s="781">
        <f t="shared" si="13"/>
        <v>16.079999999999998</v>
      </c>
      <c r="U43" s="781">
        <f t="shared" si="14"/>
        <v>10.719999999999999</v>
      </c>
      <c r="V43" s="781">
        <f t="shared" si="15"/>
        <v>26.799999999999997</v>
      </c>
      <c r="W43" s="797">
        <f t="shared" si="16"/>
        <v>23</v>
      </c>
      <c r="X43" s="797"/>
      <c r="Y43" s="77">
        <v>201</v>
      </c>
      <c r="Z43" s="782">
        <v>629</v>
      </c>
      <c r="AA43" s="782">
        <v>593</v>
      </c>
      <c r="AB43" s="782">
        <v>146</v>
      </c>
      <c r="AC43" s="782">
        <v>13</v>
      </c>
      <c r="AD43" s="77">
        <f t="shared" si="17"/>
        <v>1381</v>
      </c>
      <c r="AE43" s="77">
        <v>1381</v>
      </c>
      <c r="AF43" s="77">
        <v>1381</v>
      </c>
      <c r="AG43" s="77">
        <v>1381</v>
      </c>
      <c r="AH43" s="780">
        <v>92</v>
      </c>
      <c r="AI43" s="780">
        <v>86</v>
      </c>
      <c r="AJ43" s="780">
        <v>21</v>
      </c>
      <c r="AK43" s="780">
        <v>2</v>
      </c>
      <c r="AL43" s="77">
        <f t="shared" si="18"/>
        <v>201</v>
      </c>
      <c r="AM43" s="77">
        <f t="shared" si="19"/>
        <v>0</v>
      </c>
    </row>
    <row r="44" spans="1:39">
      <c r="A44" s="124">
        <v>33</v>
      </c>
      <c r="B44" s="385" t="s">
        <v>921</v>
      </c>
      <c r="C44" s="84">
        <v>153</v>
      </c>
      <c r="D44" s="781">
        <f t="shared" si="0"/>
        <v>9.18</v>
      </c>
      <c r="E44" s="781">
        <f t="shared" si="1"/>
        <v>6.12</v>
      </c>
      <c r="F44" s="781">
        <f t="shared" si="2"/>
        <v>15.3</v>
      </c>
      <c r="G44" s="84">
        <v>190</v>
      </c>
      <c r="H44" s="781">
        <f t="shared" si="3"/>
        <v>17.100000000000001</v>
      </c>
      <c r="I44" s="781">
        <f t="shared" si="4"/>
        <v>11.4</v>
      </c>
      <c r="J44" s="781">
        <f t="shared" si="5"/>
        <v>28.5</v>
      </c>
      <c r="K44" s="84">
        <v>67</v>
      </c>
      <c r="L44" s="781">
        <f t="shared" si="6"/>
        <v>8.0399999999999991</v>
      </c>
      <c r="M44" s="781">
        <f t="shared" si="7"/>
        <v>5.36</v>
      </c>
      <c r="N44" s="781">
        <f t="shared" si="8"/>
        <v>13.399999999999999</v>
      </c>
      <c r="O44" s="84">
        <v>23</v>
      </c>
      <c r="P44" s="781">
        <f t="shared" si="9"/>
        <v>3.45</v>
      </c>
      <c r="Q44" s="781">
        <f t="shared" si="10"/>
        <v>2.2999999999999998</v>
      </c>
      <c r="R44" s="781">
        <f t="shared" si="11"/>
        <v>5.75</v>
      </c>
      <c r="S44" s="84">
        <f t="shared" si="12"/>
        <v>433</v>
      </c>
      <c r="T44" s="781">
        <f t="shared" si="13"/>
        <v>37.770000000000003</v>
      </c>
      <c r="U44" s="781">
        <f t="shared" si="14"/>
        <v>25.18</v>
      </c>
      <c r="V44" s="781">
        <f t="shared" si="15"/>
        <v>62.95</v>
      </c>
      <c r="W44" s="797">
        <f t="shared" si="16"/>
        <v>90</v>
      </c>
      <c r="X44" s="797"/>
      <c r="Y44" s="77">
        <v>433</v>
      </c>
      <c r="Z44" s="782">
        <v>1361</v>
      </c>
      <c r="AA44" s="782">
        <v>1681</v>
      </c>
      <c r="AB44" s="782">
        <v>596</v>
      </c>
      <c r="AC44" s="782">
        <v>201</v>
      </c>
      <c r="AD44" s="77">
        <f t="shared" si="17"/>
        <v>3839</v>
      </c>
      <c r="AE44" s="77">
        <v>3839</v>
      </c>
      <c r="AF44" s="77">
        <v>3839</v>
      </c>
      <c r="AG44" s="77">
        <v>3839</v>
      </c>
      <c r="AH44" s="780">
        <v>153</v>
      </c>
      <c r="AI44" s="780">
        <v>190</v>
      </c>
      <c r="AJ44" s="780">
        <v>67</v>
      </c>
      <c r="AK44" s="780">
        <v>23</v>
      </c>
      <c r="AL44" s="77">
        <f t="shared" si="18"/>
        <v>433</v>
      </c>
      <c r="AM44" s="77">
        <f t="shared" si="19"/>
        <v>0</v>
      </c>
    </row>
    <row r="45" spans="1:39">
      <c r="A45" s="312" t="s">
        <v>19</v>
      </c>
      <c r="B45" s="84"/>
      <c r="C45" s="781">
        <f>SUM(C12:C44)</f>
        <v>3349</v>
      </c>
      <c r="D45" s="781">
        <f t="shared" ref="D45:V45" si="20">SUM(D12:D44)</f>
        <v>200.94000000000003</v>
      </c>
      <c r="E45" s="781">
        <f t="shared" si="20"/>
        <v>133.96</v>
      </c>
      <c r="F45" s="781">
        <f t="shared" si="20"/>
        <v>334.90000000000003</v>
      </c>
      <c r="G45" s="781">
        <f t="shared" si="20"/>
        <v>3591</v>
      </c>
      <c r="H45" s="781">
        <f t="shared" si="20"/>
        <v>323.19</v>
      </c>
      <c r="I45" s="781">
        <f t="shared" si="20"/>
        <v>215.46000000000004</v>
      </c>
      <c r="J45" s="781">
        <f t="shared" si="20"/>
        <v>538.64999999999986</v>
      </c>
      <c r="K45" s="781">
        <f t="shared" si="20"/>
        <v>1388</v>
      </c>
      <c r="L45" s="781">
        <f t="shared" si="20"/>
        <v>166.55999999999997</v>
      </c>
      <c r="M45" s="781">
        <f t="shared" si="20"/>
        <v>111.04</v>
      </c>
      <c r="N45" s="781">
        <f t="shared" si="20"/>
        <v>277.59999999999991</v>
      </c>
      <c r="O45" s="781">
        <f t="shared" si="20"/>
        <v>431</v>
      </c>
      <c r="P45" s="781">
        <f t="shared" si="20"/>
        <v>64.649999999999991</v>
      </c>
      <c r="Q45" s="781">
        <f t="shared" si="20"/>
        <v>43.099999999999994</v>
      </c>
      <c r="R45" s="781">
        <f t="shared" si="20"/>
        <v>107.75</v>
      </c>
      <c r="S45" s="781">
        <f t="shared" si="20"/>
        <v>8759</v>
      </c>
      <c r="T45" s="781">
        <f t="shared" si="20"/>
        <v>755.34000000000015</v>
      </c>
      <c r="U45" s="781">
        <f t="shared" si="20"/>
        <v>503.55999999999989</v>
      </c>
      <c r="V45" s="781">
        <f t="shared" si="20"/>
        <v>1258.9000000000001</v>
      </c>
      <c r="W45" s="797">
        <f t="shared" si="16"/>
        <v>1819</v>
      </c>
      <c r="X45" s="797"/>
      <c r="Y45" s="77">
        <f>SUM(Y12:Y44)</f>
        <v>8759</v>
      </c>
      <c r="Z45" s="77">
        <f t="shared" ref="Z45:AC45" si="21">SUM(Z12:Z44)</f>
        <v>23983</v>
      </c>
      <c r="AA45" s="77">
        <f t="shared" si="21"/>
        <v>25284</v>
      </c>
      <c r="AB45" s="77">
        <f t="shared" si="21"/>
        <v>9701</v>
      </c>
      <c r="AC45" s="77">
        <f t="shared" si="21"/>
        <v>3040</v>
      </c>
      <c r="AD45" s="77">
        <f t="shared" si="17"/>
        <v>62008</v>
      </c>
      <c r="AH45" s="77">
        <f>SUM(AH12:AH44)</f>
        <v>3349</v>
      </c>
      <c r="AI45" s="77">
        <f t="shared" ref="AI45:AL45" si="22">SUM(AI12:AI44)</f>
        <v>3591</v>
      </c>
      <c r="AJ45" s="77">
        <f t="shared" si="22"/>
        <v>1388</v>
      </c>
      <c r="AK45" s="77">
        <f t="shared" si="22"/>
        <v>431</v>
      </c>
      <c r="AL45" s="77">
        <f t="shared" si="22"/>
        <v>8759</v>
      </c>
      <c r="AM45" s="77">
        <f t="shared" si="19"/>
        <v>0</v>
      </c>
    </row>
    <row r="47" spans="1:39" s="15" customFormat="1" ht="12.75">
      <c r="A47" s="14" t="s">
        <v>12</v>
      </c>
      <c r="G47" s="14"/>
      <c r="H47" s="14"/>
      <c r="K47" s="14"/>
      <c r="L47" s="14"/>
      <c r="M47" s="14"/>
      <c r="N47" s="14"/>
      <c r="O47" s="14"/>
      <c r="P47" s="14"/>
      <c r="Q47" s="14"/>
      <c r="R47" s="14"/>
      <c r="S47" s="866"/>
      <c r="T47" s="866"/>
      <c r="U47" s="866"/>
      <c r="V47" s="866"/>
      <c r="W47" s="788"/>
      <c r="X47" s="788"/>
    </row>
    <row r="48" spans="1:39" s="15" customFormat="1" ht="12.75" customHeight="1">
      <c r="K48" s="36"/>
      <c r="L48" s="36"/>
      <c r="M48" s="36"/>
      <c r="N48" s="36"/>
      <c r="O48" s="36"/>
      <c r="P48" s="36"/>
      <c r="Q48" s="36"/>
      <c r="R48" s="77"/>
      <c r="S48" s="866" t="s">
        <v>13</v>
      </c>
      <c r="T48" s="866"/>
      <c r="U48" s="36"/>
      <c r="V48" s="36"/>
      <c r="W48" s="36"/>
      <c r="X48" s="36"/>
    </row>
    <row r="49" spans="1:24" s="15" customFormat="1" ht="12.75" customHeight="1">
      <c r="K49" s="36"/>
      <c r="L49" s="36"/>
      <c r="M49" s="36"/>
      <c r="N49" s="36"/>
      <c r="O49" s="36"/>
      <c r="P49" s="36"/>
      <c r="Q49" s="36"/>
      <c r="R49" s="36" t="s">
        <v>14</v>
      </c>
      <c r="S49" s="36"/>
      <c r="T49" s="36"/>
      <c r="U49" s="36"/>
      <c r="V49" s="36"/>
      <c r="W49" s="36"/>
      <c r="X49" s="36"/>
    </row>
    <row r="50" spans="1:24" s="15" customFormat="1" ht="12.75">
      <c r="A50" s="14"/>
      <c r="B50" s="14"/>
      <c r="K50" s="14"/>
      <c r="L50" s="14"/>
      <c r="M50" s="14"/>
      <c r="N50" s="14"/>
      <c r="O50" s="14"/>
      <c r="P50" s="14"/>
      <c r="Q50" s="36"/>
      <c r="R50" s="36" t="s">
        <v>90</v>
      </c>
      <c r="S50" s="36"/>
      <c r="T50" s="36"/>
      <c r="U50" s="36"/>
      <c r="V50" s="36"/>
      <c r="W50" s="36"/>
      <c r="X50" s="36"/>
    </row>
    <row r="51" spans="1:24">
      <c r="R51" s="850" t="s">
        <v>87</v>
      </c>
      <c r="S51" s="850"/>
      <c r="T51" s="850"/>
    </row>
  </sheetData>
  <mergeCells count="23">
    <mergeCell ref="R51:T51"/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  <mergeCell ref="S47:V47"/>
    <mergeCell ref="B8:B10"/>
    <mergeCell ref="A8:A10"/>
    <mergeCell ref="S48:T48"/>
    <mergeCell ref="O8:R8"/>
    <mergeCell ref="K8:N8"/>
    <mergeCell ref="G8:J8"/>
    <mergeCell ref="L9:N9"/>
    <mergeCell ref="O9:O10"/>
  </mergeCells>
  <printOptions horizontalCentered="1"/>
  <pageMargins left="0.70866141732283472" right="0.70866141732283472" top="0.23622047244094491" bottom="0" header="0.31496062992125984" footer="0.31496062992125984"/>
  <pageSetup paperSize="9" scale="66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62"/>
  <sheetViews>
    <sheetView tabSelected="1" view="pageBreakPreview" topLeftCell="E28" zoomScale="84" zoomScaleNormal="85" zoomScaleSheetLayoutView="84" workbookViewId="0">
      <selection activeCell="I57" sqref="I57:J57"/>
    </sheetView>
  </sheetViews>
  <sheetFormatPr defaultColWidth="8.85546875" defaultRowHeight="14.25"/>
  <cols>
    <col min="1" max="1" width="8.140625" style="75" customWidth="1"/>
    <col min="2" max="2" width="14.5703125" style="75" customWidth="1"/>
    <col min="3" max="3" width="12.140625" style="75" customWidth="1"/>
    <col min="4" max="4" width="11.7109375" style="75" customWidth="1"/>
    <col min="5" max="5" width="11.28515625" style="75" customWidth="1"/>
    <col min="6" max="6" width="17.140625" style="75" customWidth="1"/>
    <col min="7" max="7" width="15.140625" style="75" customWidth="1"/>
    <col min="8" max="8" width="14.42578125" style="75" customWidth="1"/>
    <col min="9" max="9" width="14.85546875" style="75" customWidth="1"/>
    <col min="10" max="10" width="18.42578125" style="75" customWidth="1"/>
    <col min="11" max="11" width="17.28515625" style="75" customWidth="1"/>
    <col min="12" max="12" width="16.28515625" style="75" customWidth="1"/>
    <col min="13" max="13" width="8.85546875" style="75"/>
    <col min="14" max="15" width="11.140625" style="75" bestFit="1" customWidth="1"/>
    <col min="16" max="16384" width="8.85546875" style="75"/>
  </cols>
  <sheetData>
    <row r="1" spans="1:19" ht="15">
      <c r="B1" s="15"/>
      <c r="C1" s="15"/>
      <c r="D1" s="15"/>
      <c r="E1" s="15"/>
      <c r="F1" s="1"/>
      <c r="G1" s="1"/>
      <c r="H1" s="15"/>
      <c r="J1" s="41"/>
      <c r="K1" s="986" t="s">
        <v>544</v>
      </c>
      <c r="L1" s="986"/>
    </row>
    <row r="2" spans="1:19" ht="15.75">
      <c r="B2" s="847" t="s">
        <v>0</v>
      </c>
      <c r="C2" s="847"/>
      <c r="D2" s="847"/>
      <c r="E2" s="847"/>
      <c r="F2" s="847"/>
      <c r="G2" s="847"/>
      <c r="H2" s="847"/>
      <c r="I2" s="847"/>
      <c r="J2" s="847"/>
    </row>
    <row r="3" spans="1:19" ht="20.25">
      <c r="B3" s="848" t="s">
        <v>705</v>
      </c>
      <c r="C3" s="848"/>
      <c r="D3" s="848"/>
      <c r="E3" s="848"/>
      <c r="F3" s="848"/>
      <c r="G3" s="848"/>
      <c r="H3" s="848"/>
      <c r="I3" s="848"/>
      <c r="J3" s="848"/>
    </row>
    <row r="4" spans="1:19" ht="20.25">
      <c r="B4" s="136"/>
      <c r="C4" s="136"/>
      <c r="D4" s="136"/>
      <c r="E4" s="136"/>
      <c r="F4" s="136"/>
      <c r="G4" s="136"/>
      <c r="H4" s="136"/>
      <c r="I4" s="136"/>
      <c r="J4" s="136"/>
    </row>
    <row r="5" spans="1:19" ht="15.6" customHeight="1">
      <c r="B5" s="1138" t="s">
        <v>839</v>
      </c>
      <c r="C5" s="1138"/>
      <c r="D5" s="1138"/>
      <c r="E5" s="1138"/>
      <c r="F5" s="1138"/>
      <c r="G5" s="1138"/>
      <c r="H5" s="1138"/>
      <c r="I5" s="1138"/>
      <c r="J5" s="1138"/>
      <c r="K5" s="1138"/>
      <c r="L5" s="1138"/>
    </row>
    <row r="6" spans="1:19">
      <c r="A6" s="850" t="s">
        <v>923</v>
      </c>
      <c r="B6" s="850"/>
      <c r="C6" s="32"/>
    </row>
    <row r="7" spans="1:19" ht="15" customHeight="1">
      <c r="A7" s="1130" t="s">
        <v>113</v>
      </c>
      <c r="B7" s="1107" t="s">
        <v>3</v>
      </c>
      <c r="C7" s="1134" t="s">
        <v>27</v>
      </c>
      <c r="D7" s="1134"/>
      <c r="E7" s="1134"/>
      <c r="F7" s="1134"/>
      <c r="G7" s="1135" t="s">
        <v>28</v>
      </c>
      <c r="H7" s="1136"/>
      <c r="I7" s="1136"/>
      <c r="J7" s="1137"/>
      <c r="K7" s="1107" t="s">
        <v>385</v>
      </c>
      <c r="L7" s="1112" t="s">
        <v>676</v>
      </c>
    </row>
    <row r="8" spans="1:19" ht="31.15" customHeight="1">
      <c r="A8" s="1131"/>
      <c r="B8" s="1133"/>
      <c r="C8" s="1112" t="s">
        <v>245</v>
      </c>
      <c r="D8" s="1107" t="s">
        <v>441</v>
      </c>
      <c r="E8" s="1139" t="s">
        <v>101</v>
      </c>
      <c r="F8" s="1111"/>
      <c r="G8" s="1108" t="s">
        <v>245</v>
      </c>
      <c r="H8" s="1112" t="s">
        <v>441</v>
      </c>
      <c r="I8" s="1140" t="s">
        <v>101</v>
      </c>
      <c r="J8" s="1141"/>
      <c r="K8" s="1133"/>
      <c r="L8" s="1112"/>
    </row>
    <row r="9" spans="1:19" ht="69.75" customHeight="1">
      <c r="A9" s="1132"/>
      <c r="B9" s="1108"/>
      <c r="C9" s="1112"/>
      <c r="D9" s="1108"/>
      <c r="E9" s="90" t="s">
        <v>778</v>
      </c>
      <c r="F9" s="90" t="s">
        <v>442</v>
      </c>
      <c r="G9" s="1112"/>
      <c r="H9" s="1112"/>
      <c r="I9" s="90" t="s">
        <v>778</v>
      </c>
      <c r="J9" s="90" t="s">
        <v>442</v>
      </c>
      <c r="K9" s="1108"/>
      <c r="L9" s="1112"/>
      <c r="M9" s="118"/>
      <c r="N9" s="118"/>
      <c r="O9" s="118"/>
    </row>
    <row r="10" spans="1:19">
      <c r="A10" s="167">
        <v>1</v>
      </c>
      <c r="B10" s="166">
        <v>2</v>
      </c>
      <c r="C10" s="167">
        <v>3</v>
      </c>
      <c r="D10" s="166">
        <v>4</v>
      </c>
      <c r="E10" s="167">
        <v>5</v>
      </c>
      <c r="F10" s="166">
        <v>6</v>
      </c>
      <c r="G10" s="167">
        <v>7</v>
      </c>
      <c r="H10" s="166">
        <v>8</v>
      </c>
      <c r="I10" s="167">
        <v>9</v>
      </c>
      <c r="J10" s="166">
        <v>10</v>
      </c>
      <c r="K10" s="167" t="s">
        <v>552</v>
      </c>
      <c r="L10" s="166">
        <v>12</v>
      </c>
      <c r="M10" s="118"/>
      <c r="N10" s="118"/>
      <c r="O10" s="118"/>
    </row>
    <row r="11" spans="1:19" s="115" customFormat="1">
      <c r="A11" s="128">
        <v>1</v>
      </c>
      <c r="B11" s="385" t="s">
        <v>889</v>
      </c>
      <c r="C11" s="116">
        <v>144203</v>
      </c>
      <c r="D11" s="116">
        <v>883</v>
      </c>
      <c r="E11" s="116">
        <v>883</v>
      </c>
      <c r="F11" s="585">
        <v>0</v>
      </c>
      <c r="G11" s="116">
        <v>81946</v>
      </c>
      <c r="H11" s="116">
        <v>2730</v>
      </c>
      <c r="I11" s="116">
        <v>2730</v>
      </c>
      <c r="J11" s="585">
        <v>0</v>
      </c>
      <c r="K11" s="128">
        <f>E11+F11+I11+J11</f>
        <v>3613</v>
      </c>
      <c r="L11" s="128"/>
      <c r="M11" s="118"/>
      <c r="N11" s="118"/>
      <c r="O11" s="118"/>
      <c r="P11" s="118"/>
      <c r="Q11" s="118"/>
      <c r="R11" s="118"/>
      <c r="S11" s="118"/>
    </row>
    <row r="12" spans="1:19">
      <c r="A12" s="128">
        <v>2</v>
      </c>
      <c r="B12" s="385" t="s">
        <v>890</v>
      </c>
      <c r="C12" s="116">
        <v>195117</v>
      </c>
      <c r="D12" s="116">
        <v>4622</v>
      </c>
      <c r="E12" s="116">
        <v>4622</v>
      </c>
      <c r="F12" s="585">
        <v>0</v>
      </c>
      <c r="G12" s="116">
        <v>98258</v>
      </c>
      <c r="H12" s="116">
        <v>108</v>
      </c>
      <c r="I12" s="116">
        <v>108</v>
      </c>
      <c r="J12" s="585">
        <v>0</v>
      </c>
      <c r="K12" s="128">
        <f t="shared" ref="K12:K43" si="0">E12+F12+I12+J12</f>
        <v>4730</v>
      </c>
      <c r="L12" s="128"/>
      <c r="M12" s="118"/>
      <c r="N12" s="118"/>
      <c r="O12" s="118"/>
    </row>
    <row r="13" spans="1:19">
      <c r="A13" s="128">
        <v>3</v>
      </c>
      <c r="B13" s="385" t="s">
        <v>891</v>
      </c>
      <c r="C13" s="115">
        <v>184011</v>
      </c>
      <c r="D13" s="115">
        <v>2856</v>
      </c>
      <c r="E13" s="115">
        <v>2856</v>
      </c>
      <c r="F13" s="585">
        <v>0</v>
      </c>
      <c r="G13" s="115">
        <v>95878</v>
      </c>
      <c r="H13" s="115">
        <v>1471</v>
      </c>
      <c r="I13" s="115">
        <v>1471</v>
      </c>
      <c r="J13" s="585">
        <v>0</v>
      </c>
      <c r="K13" s="128">
        <f t="shared" si="0"/>
        <v>4327</v>
      </c>
      <c r="L13" s="128"/>
      <c r="M13" s="118"/>
      <c r="N13" s="118"/>
      <c r="O13" s="118"/>
    </row>
    <row r="14" spans="1:19">
      <c r="A14" s="128">
        <v>4</v>
      </c>
      <c r="B14" s="385" t="s">
        <v>892</v>
      </c>
      <c r="C14" s="115">
        <v>81526</v>
      </c>
      <c r="D14" s="115">
        <v>1169</v>
      </c>
      <c r="E14" s="115">
        <v>1169</v>
      </c>
      <c r="F14" s="585">
        <v>0</v>
      </c>
      <c r="G14" s="115">
        <v>39761</v>
      </c>
      <c r="H14" s="115">
        <v>888</v>
      </c>
      <c r="I14" s="115">
        <v>888</v>
      </c>
      <c r="J14" s="585">
        <v>0</v>
      </c>
      <c r="K14" s="128">
        <f t="shared" si="0"/>
        <v>2057</v>
      </c>
      <c r="L14" s="128"/>
    </row>
    <row r="15" spans="1:19">
      <c r="A15" s="128">
        <v>5</v>
      </c>
      <c r="B15" s="385" t="s">
        <v>893</v>
      </c>
      <c r="C15" s="115">
        <v>293985</v>
      </c>
      <c r="D15" s="115">
        <v>4902</v>
      </c>
      <c r="E15" s="115">
        <v>4902</v>
      </c>
      <c r="F15" s="585">
        <v>0</v>
      </c>
      <c r="G15" s="115">
        <v>114251</v>
      </c>
      <c r="H15" s="115">
        <v>3269</v>
      </c>
      <c r="I15" s="115">
        <v>3269</v>
      </c>
      <c r="J15" s="585">
        <v>0</v>
      </c>
      <c r="K15" s="128">
        <f t="shared" si="0"/>
        <v>8171</v>
      </c>
      <c r="L15" s="128">
        <v>7477</v>
      </c>
      <c r="N15" s="75" t="s">
        <v>11</v>
      </c>
    </row>
    <row r="16" spans="1:19">
      <c r="A16" s="128">
        <v>6</v>
      </c>
      <c r="B16" s="385" t="s">
        <v>894</v>
      </c>
      <c r="C16" s="115">
        <v>130508</v>
      </c>
      <c r="D16" s="115">
        <v>3356</v>
      </c>
      <c r="E16" s="115">
        <v>3356</v>
      </c>
      <c r="F16" s="585">
        <v>0</v>
      </c>
      <c r="G16" s="115">
        <v>70320</v>
      </c>
      <c r="H16" s="115">
        <v>8</v>
      </c>
      <c r="I16" s="115">
        <v>8</v>
      </c>
      <c r="J16" s="585">
        <v>0</v>
      </c>
      <c r="K16" s="128">
        <f t="shared" si="0"/>
        <v>3364</v>
      </c>
      <c r="L16" s="128"/>
    </row>
    <row r="17" spans="1:12">
      <c r="A17" s="128">
        <v>7</v>
      </c>
      <c r="B17" s="385" t="s">
        <v>895</v>
      </c>
      <c r="C17" s="115">
        <v>172465</v>
      </c>
      <c r="D17" s="115">
        <v>3059</v>
      </c>
      <c r="E17" s="115">
        <v>3059</v>
      </c>
      <c r="F17" s="585">
        <v>0</v>
      </c>
      <c r="G17" s="115">
        <v>95280</v>
      </c>
      <c r="H17" s="115">
        <v>2012</v>
      </c>
      <c r="I17" s="115">
        <v>2012</v>
      </c>
      <c r="J17" s="585">
        <v>0</v>
      </c>
      <c r="K17" s="128">
        <f t="shared" si="0"/>
        <v>5071</v>
      </c>
      <c r="L17" s="128"/>
    </row>
    <row r="18" spans="1:12">
      <c r="A18" s="128">
        <v>8</v>
      </c>
      <c r="B18" s="385" t="s">
        <v>896</v>
      </c>
      <c r="C18" s="115">
        <v>133348</v>
      </c>
      <c r="D18" s="115">
        <v>3406</v>
      </c>
      <c r="E18" s="115">
        <v>3406</v>
      </c>
      <c r="F18" s="585">
        <v>0</v>
      </c>
      <c r="G18" s="115">
        <v>66000</v>
      </c>
      <c r="H18" s="115">
        <v>110</v>
      </c>
      <c r="I18" s="115">
        <v>110</v>
      </c>
      <c r="J18" s="585">
        <v>0</v>
      </c>
      <c r="K18" s="128">
        <f t="shared" si="0"/>
        <v>3516</v>
      </c>
      <c r="L18" s="128">
        <v>627</v>
      </c>
    </row>
    <row r="19" spans="1:12">
      <c r="A19" s="128">
        <v>9</v>
      </c>
      <c r="B19" s="385" t="s">
        <v>897</v>
      </c>
      <c r="C19" s="115">
        <v>72007</v>
      </c>
      <c r="D19" s="115">
        <v>1332</v>
      </c>
      <c r="E19" s="115">
        <v>1332</v>
      </c>
      <c r="F19" s="585">
        <v>0</v>
      </c>
      <c r="G19" s="115">
        <v>39005</v>
      </c>
      <c r="H19" s="115">
        <v>868</v>
      </c>
      <c r="I19" s="115">
        <v>868</v>
      </c>
      <c r="J19" s="585">
        <v>0</v>
      </c>
      <c r="K19" s="128">
        <f t="shared" si="0"/>
        <v>2200</v>
      </c>
      <c r="L19" s="128"/>
    </row>
    <row r="20" spans="1:12">
      <c r="A20" s="128">
        <v>10</v>
      </c>
      <c r="B20" s="385" t="s">
        <v>898</v>
      </c>
      <c r="C20" s="115">
        <v>98963</v>
      </c>
      <c r="D20" s="115">
        <v>1342</v>
      </c>
      <c r="E20" s="115">
        <v>1342</v>
      </c>
      <c r="F20" s="585">
        <v>0</v>
      </c>
      <c r="G20" s="115">
        <v>56987</v>
      </c>
      <c r="H20" s="115">
        <v>1841</v>
      </c>
      <c r="I20" s="115">
        <v>1841</v>
      </c>
      <c r="J20" s="585">
        <v>0</v>
      </c>
      <c r="K20" s="128">
        <f t="shared" si="0"/>
        <v>3183</v>
      </c>
      <c r="L20" s="128"/>
    </row>
    <row r="21" spans="1:12">
      <c r="A21" s="128">
        <v>11</v>
      </c>
      <c r="B21" s="385" t="s">
        <v>899</v>
      </c>
      <c r="C21" s="115">
        <v>105492</v>
      </c>
      <c r="D21" s="115">
        <v>1308</v>
      </c>
      <c r="E21" s="115">
        <v>1308</v>
      </c>
      <c r="F21" s="585">
        <v>0</v>
      </c>
      <c r="G21" s="115">
        <v>61981</v>
      </c>
      <c r="H21" s="115">
        <v>1118</v>
      </c>
      <c r="I21" s="115">
        <v>1118</v>
      </c>
      <c r="J21" s="585">
        <v>0</v>
      </c>
      <c r="K21" s="128">
        <f t="shared" si="0"/>
        <v>2426</v>
      </c>
      <c r="L21" s="128">
        <v>417</v>
      </c>
    </row>
    <row r="22" spans="1:12">
      <c r="A22" s="128">
        <v>12</v>
      </c>
      <c r="B22" s="385" t="s">
        <v>900</v>
      </c>
      <c r="C22" s="115">
        <v>82295</v>
      </c>
      <c r="D22" s="115">
        <v>1771</v>
      </c>
      <c r="E22" s="115">
        <v>1771</v>
      </c>
      <c r="F22" s="585">
        <v>0</v>
      </c>
      <c r="G22" s="115">
        <v>48770</v>
      </c>
      <c r="H22" s="115">
        <v>1099</v>
      </c>
      <c r="I22" s="115">
        <v>1099</v>
      </c>
      <c r="J22" s="585">
        <v>0</v>
      </c>
      <c r="K22" s="128">
        <f t="shared" si="0"/>
        <v>2870</v>
      </c>
      <c r="L22" s="128"/>
    </row>
    <row r="23" spans="1:12">
      <c r="A23" s="128">
        <v>13</v>
      </c>
      <c r="B23" s="385" t="s">
        <v>901</v>
      </c>
      <c r="C23" s="115">
        <v>104744</v>
      </c>
      <c r="D23" s="115">
        <v>1022</v>
      </c>
      <c r="E23" s="115">
        <v>1022</v>
      </c>
      <c r="F23" s="585">
        <v>0</v>
      </c>
      <c r="G23" s="115">
        <v>47235</v>
      </c>
      <c r="H23" s="115">
        <v>1520</v>
      </c>
      <c r="I23" s="115">
        <v>1520</v>
      </c>
      <c r="J23" s="585">
        <v>0</v>
      </c>
      <c r="K23" s="128">
        <f t="shared" si="0"/>
        <v>2542</v>
      </c>
      <c r="L23" s="128"/>
    </row>
    <row r="24" spans="1:12">
      <c r="A24" s="128">
        <v>14</v>
      </c>
      <c r="B24" s="385" t="s">
        <v>902</v>
      </c>
      <c r="C24" s="115">
        <v>136114</v>
      </c>
      <c r="D24" s="115">
        <v>1896</v>
      </c>
      <c r="E24" s="115">
        <v>1896</v>
      </c>
      <c r="F24" s="585">
        <v>0</v>
      </c>
      <c r="G24" s="115">
        <v>77832</v>
      </c>
      <c r="H24" s="115">
        <v>1783</v>
      </c>
      <c r="I24" s="115">
        <v>1783</v>
      </c>
      <c r="J24" s="585">
        <v>0</v>
      </c>
      <c r="K24" s="128">
        <f t="shared" si="0"/>
        <v>3679</v>
      </c>
      <c r="L24" s="128"/>
    </row>
    <row r="25" spans="1:12">
      <c r="A25" s="128">
        <v>15</v>
      </c>
      <c r="B25" s="385" t="s">
        <v>903</v>
      </c>
      <c r="C25" s="115">
        <v>89108</v>
      </c>
      <c r="D25" s="115">
        <v>3100</v>
      </c>
      <c r="E25" s="115">
        <v>3100</v>
      </c>
      <c r="F25" s="585">
        <v>0</v>
      </c>
      <c r="G25" s="115">
        <v>54752</v>
      </c>
      <c r="H25" s="115">
        <v>15</v>
      </c>
      <c r="I25" s="115">
        <v>15</v>
      </c>
      <c r="J25" s="585">
        <v>0</v>
      </c>
      <c r="K25" s="128">
        <f t="shared" si="0"/>
        <v>3115</v>
      </c>
      <c r="L25" s="128"/>
    </row>
    <row r="26" spans="1:12">
      <c r="A26" s="128">
        <v>16</v>
      </c>
      <c r="B26" s="385" t="s">
        <v>904</v>
      </c>
      <c r="C26" s="115">
        <v>75018</v>
      </c>
      <c r="D26" s="115">
        <v>1288</v>
      </c>
      <c r="E26" s="115">
        <v>1288</v>
      </c>
      <c r="F26" s="585">
        <v>0</v>
      </c>
      <c r="G26" s="115">
        <v>48198</v>
      </c>
      <c r="H26" s="115">
        <v>859</v>
      </c>
      <c r="I26" s="115">
        <v>859</v>
      </c>
      <c r="J26" s="585">
        <v>0</v>
      </c>
      <c r="K26" s="128">
        <f t="shared" si="0"/>
        <v>2147</v>
      </c>
      <c r="L26" s="128">
        <v>271</v>
      </c>
    </row>
    <row r="27" spans="1:12">
      <c r="A27" s="128">
        <v>17</v>
      </c>
      <c r="B27" s="385" t="s">
        <v>905</v>
      </c>
      <c r="C27" s="115">
        <v>206804</v>
      </c>
      <c r="D27" s="115">
        <v>1112</v>
      </c>
      <c r="E27" s="115">
        <v>1112</v>
      </c>
      <c r="F27" s="585">
        <v>0</v>
      </c>
      <c r="G27" s="115">
        <v>108310</v>
      </c>
      <c r="H27" s="115">
        <v>2076</v>
      </c>
      <c r="I27" s="115">
        <v>2076</v>
      </c>
      <c r="J27" s="585">
        <v>0</v>
      </c>
      <c r="K27" s="128">
        <f t="shared" si="0"/>
        <v>3188</v>
      </c>
      <c r="L27" s="128"/>
    </row>
    <row r="28" spans="1:12">
      <c r="A28" s="128">
        <v>18</v>
      </c>
      <c r="B28" s="385" t="s">
        <v>906</v>
      </c>
      <c r="C28" s="115">
        <v>69134</v>
      </c>
      <c r="D28" s="115">
        <v>1027</v>
      </c>
      <c r="E28" s="115">
        <v>1027</v>
      </c>
      <c r="F28" s="585">
        <v>0</v>
      </c>
      <c r="G28" s="115">
        <v>26988</v>
      </c>
      <c r="H28" s="115">
        <v>993</v>
      </c>
      <c r="I28" s="115">
        <v>993</v>
      </c>
      <c r="J28" s="585">
        <v>0</v>
      </c>
      <c r="K28" s="128">
        <f t="shared" si="0"/>
        <v>2020</v>
      </c>
      <c r="L28" s="128">
        <v>2023</v>
      </c>
    </row>
    <row r="29" spans="1:12">
      <c r="A29" s="128">
        <v>19</v>
      </c>
      <c r="B29" s="385" t="s">
        <v>907</v>
      </c>
      <c r="C29" s="115">
        <v>137515</v>
      </c>
      <c r="D29" s="115">
        <v>2718</v>
      </c>
      <c r="E29" s="115">
        <v>2718</v>
      </c>
      <c r="F29" s="585">
        <v>0</v>
      </c>
      <c r="G29" s="115">
        <v>67074</v>
      </c>
      <c r="H29" s="115">
        <v>961</v>
      </c>
      <c r="I29" s="115">
        <v>961</v>
      </c>
      <c r="J29" s="585">
        <v>0</v>
      </c>
      <c r="K29" s="128">
        <f t="shared" si="0"/>
        <v>3679</v>
      </c>
      <c r="L29" s="128">
        <v>3177</v>
      </c>
    </row>
    <row r="30" spans="1:12">
      <c r="A30" s="128">
        <v>20</v>
      </c>
      <c r="B30" s="385" t="s">
        <v>908</v>
      </c>
      <c r="C30" s="115">
        <v>103148</v>
      </c>
      <c r="D30" s="115">
        <v>1762</v>
      </c>
      <c r="E30" s="115">
        <v>1762</v>
      </c>
      <c r="F30" s="585">
        <v>0</v>
      </c>
      <c r="G30" s="115">
        <v>53364</v>
      </c>
      <c r="H30" s="115">
        <v>1175</v>
      </c>
      <c r="I30" s="115">
        <v>1175</v>
      </c>
      <c r="J30" s="585">
        <v>0</v>
      </c>
      <c r="K30" s="128">
        <f t="shared" si="0"/>
        <v>2937</v>
      </c>
      <c r="L30" s="128"/>
    </row>
    <row r="31" spans="1:12">
      <c r="A31" s="128">
        <v>21</v>
      </c>
      <c r="B31" s="385" t="s">
        <v>909</v>
      </c>
      <c r="C31" s="115">
        <v>63019</v>
      </c>
      <c r="D31" s="115">
        <v>1431</v>
      </c>
      <c r="E31" s="115">
        <v>1431</v>
      </c>
      <c r="F31" s="585">
        <v>0</v>
      </c>
      <c r="G31" s="115">
        <v>39086</v>
      </c>
      <c r="H31" s="115">
        <v>1036</v>
      </c>
      <c r="I31" s="115">
        <v>1036</v>
      </c>
      <c r="J31" s="585">
        <v>0</v>
      </c>
      <c r="K31" s="128">
        <f t="shared" si="0"/>
        <v>2467</v>
      </c>
      <c r="L31" s="128"/>
    </row>
    <row r="32" spans="1:12">
      <c r="A32" s="128">
        <v>22</v>
      </c>
      <c r="B32" s="385" t="s">
        <v>910</v>
      </c>
      <c r="C32" s="115">
        <v>209906</v>
      </c>
      <c r="D32" s="115">
        <v>3031</v>
      </c>
      <c r="E32" s="115">
        <v>3031</v>
      </c>
      <c r="F32" s="585">
        <v>0</v>
      </c>
      <c r="G32" s="115">
        <v>100202</v>
      </c>
      <c r="H32" s="115">
        <v>2034</v>
      </c>
      <c r="I32" s="115">
        <v>2034</v>
      </c>
      <c r="J32" s="585">
        <v>0</v>
      </c>
      <c r="K32" s="128">
        <f t="shared" si="0"/>
        <v>5065</v>
      </c>
      <c r="L32" s="128">
        <v>1315</v>
      </c>
    </row>
    <row r="33" spans="1:19">
      <c r="A33" s="128">
        <v>23</v>
      </c>
      <c r="B33" s="385" t="s">
        <v>911</v>
      </c>
      <c r="C33" s="115">
        <v>91073</v>
      </c>
      <c r="D33" s="115">
        <v>1393</v>
      </c>
      <c r="E33" s="115">
        <v>1393</v>
      </c>
      <c r="F33" s="585">
        <v>0</v>
      </c>
      <c r="G33" s="115">
        <v>45030</v>
      </c>
      <c r="H33" s="115">
        <v>659</v>
      </c>
      <c r="I33" s="115">
        <v>659</v>
      </c>
      <c r="J33" s="585">
        <v>0</v>
      </c>
      <c r="K33" s="128">
        <f t="shared" si="0"/>
        <v>2052</v>
      </c>
      <c r="L33" s="128"/>
    </row>
    <row r="34" spans="1:19">
      <c r="A34" s="128">
        <v>24</v>
      </c>
      <c r="B34" s="385" t="s">
        <v>912</v>
      </c>
      <c r="C34" s="115">
        <v>71506</v>
      </c>
      <c r="D34" s="115">
        <v>1235</v>
      </c>
      <c r="E34" s="115">
        <v>1235</v>
      </c>
      <c r="F34" s="585">
        <v>0</v>
      </c>
      <c r="G34" s="115">
        <v>38969</v>
      </c>
      <c r="H34" s="115">
        <v>812</v>
      </c>
      <c r="I34" s="115">
        <v>812</v>
      </c>
      <c r="J34" s="585">
        <v>0</v>
      </c>
      <c r="K34" s="128">
        <f t="shared" si="0"/>
        <v>2047</v>
      </c>
      <c r="L34" s="128"/>
    </row>
    <row r="35" spans="1:19">
      <c r="A35" s="128">
        <v>25</v>
      </c>
      <c r="B35" s="385" t="s">
        <v>913</v>
      </c>
      <c r="C35" s="115">
        <v>174852</v>
      </c>
      <c r="D35" s="115">
        <v>3233</v>
      </c>
      <c r="E35" s="115">
        <v>3233</v>
      </c>
      <c r="F35" s="585">
        <v>0</v>
      </c>
      <c r="G35" s="115">
        <v>101729</v>
      </c>
      <c r="H35" s="115">
        <v>2156</v>
      </c>
      <c r="I35" s="115">
        <v>2156</v>
      </c>
      <c r="J35" s="585">
        <v>0</v>
      </c>
      <c r="K35" s="128">
        <f t="shared" si="0"/>
        <v>5389</v>
      </c>
      <c r="L35" s="128">
        <v>548</v>
      </c>
    </row>
    <row r="36" spans="1:19">
      <c r="A36" s="128">
        <v>26</v>
      </c>
      <c r="B36" s="385" t="s">
        <v>914</v>
      </c>
      <c r="C36" s="115">
        <v>111890</v>
      </c>
      <c r="D36" s="115">
        <v>949</v>
      </c>
      <c r="E36" s="115">
        <v>949</v>
      </c>
      <c r="F36" s="585">
        <v>0</v>
      </c>
      <c r="G36" s="115">
        <v>77737</v>
      </c>
      <c r="H36" s="115">
        <v>2289</v>
      </c>
      <c r="I36" s="115">
        <v>2289</v>
      </c>
      <c r="J36" s="585">
        <v>0</v>
      </c>
      <c r="K36" s="128">
        <f t="shared" si="0"/>
        <v>3238</v>
      </c>
      <c r="L36" s="128">
        <v>254</v>
      </c>
    </row>
    <row r="37" spans="1:19">
      <c r="A37" s="128">
        <v>27</v>
      </c>
      <c r="B37" s="385" t="s">
        <v>915</v>
      </c>
      <c r="C37" s="115">
        <v>85143</v>
      </c>
      <c r="D37" s="115">
        <v>1493</v>
      </c>
      <c r="E37" s="115">
        <v>1493</v>
      </c>
      <c r="F37" s="585">
        <v>0</v>
      </c>
      <c r="G37" s="115">
        <v>43846</v>
      </c>
      <c r="H37" s="115">
        <v>812</v>
      </c>
      <c r="I37" s="115">
        <v>812</v>
      </c>
      <c r="J37" s="585">
        <v>0</v>
      </c>
      <c r="K37" s="128">
        <f t="shared" si="0"/>
        <v>2305</v>
      </c>
      <c r="L37" s="128"/>
    </row>
    <row r="38" spans="1:19">
      <c r="A38" s="128">
        <v>28</v>
      </c>
      <c r="B38" s="385" t="s">
        <v>916</v>
      </c>
      <c r="C38" s="115">
        <v>99449</v>
      </c>
      <c r="D38" s="115">
        <v>1411</v>
      </c>
      <c r="E38" s="115">
        <v>1411</v>
      </c>
      <c r="F38" s="585">
        <v>0</v>
      </c>
      <c r="G38" s="115">
        <v>58288</v>
      </c>
      <c r="H38" s="115">
        <v>942</v>
      </c>
      <c r="I38" s="115">
        <v>942</v>
      </c>
      <c r="J38" s="585">
        <v>0</v>
      </c>
      <c r="K38" s="128">
        <f t="shared" si="0"/>
        <v>2353</v>
      </c>
      <c r="L38" s="128"/>
    </row>
    <row r="39" spans="1:19">
      <c r="A39" s="128">
        <v>29</v>
      </c>
      <c r="B39" s="385" t="s">
        <v>917</v>
      </c>
      <c r="C39" s="115">
        <v>77104</v>
      </c>
      <c r="D39" s="115">
        <v>1300</v>
      </c>
      <c r="E39" s="115">
        <v>1300</v>
      </c>
      <c r="F39" s="585">
        <v>0</v>
      </c>
      <c r="G39" s="115">
        <v>36263</v>
      </c>
      <c r="H39" s="115">
        <v>569</v>
      </c>
      <c r="I39" s="115">
        <v>569</v>
      </c>
      <c r="J39" s="585">
        <v>0</v>
      </c>
      <c r="K39" s="128">
        <f t="shared" si="0"/>
        <v>1869</v>
      </c>
      <c r="L39" s="128"/>
    </row>
    <row r="40" spans="1:19">
      <c r="A40" s="128">
        <v>30</v>
      </c>
      <c r="B40" s="385" t="s">
        <v>918</v>
      </c>
      <c r="C40" s="115">
        <v>101852</v>
      </c>
      <c r="D40" s="115">
        <v>2013</v>
      </c>
      <c r="E40" s="115">
        <v>2013</v>
      </c>
      <c r="F40" s="585">
        <v>0</v>
      </c>
      <c r="G40" s="115">
        <v>60942</v>
      </c>
      <c r="H40" s="115">
        <v>1304</v>
      </c>
      <c r="I40" s="115">
        <v>1304</v>
      </c>
      <c r="J40" s="585">
        <v>0</v>
      </c>
      <c r="K40" s="128">
        <f t="shared" si="0"/>
        <v>3317</v>
      </c>
      <c r="L40" s="128"/>
    </row>
    <row r="41" spans="1:19">
      <c r="A41" s="128">
        <v>31</v>
      </c>
      <c r="B41" s="385" t="s">
        <v>919</v>
      </c>
      <c r="C41" s="115">
        <v>77002</v>
      </c>
      <c r="D41" s="115">
        <v>926</v>
      </c>
      <c r="E41" s="115">
        <v>926</v>
      </c>
      <c r="F41" s="585">
        <v>0</v>
      </c>
      <c r="G41" s="115">
        <v>38335</v>
      </c>
      <c r="H41" s="115">
        <v>781</v>
      </c>
      <c r="I41" s="115">
        <v>781</v>
      </c>
      <c r="J41" s="585">
        <v>0</v>
      </c>
      <c r="K41" s="128">
        <f t="shared" si="0"/>
        <v>1707</v>
      </c>
      <c r="L41" s="128"/>
    </row>
    <row r="42" spans="1:19">
      <c r="A42" s="128">
        <v>32</v>
      </c>
      <c r="B42" s="385" t="s">
        <v>920</v>
      </c>
      <c r="C42" s="115">
        <v>77757</v>
      </c>
      <c r="D42" s="115">
        <v>1120</v>
      </c>
      <c r="E42" s="115">
        <v>1120</v>
      </c>
      <c r="F42" s="585">
        <v>0</v>
      </c>
      <c r="G42" s="115">
        <v>40778</v>
      </c>
      <c r="H42" s="115">
        <v>1436</v>
      </c>
      <c r="I42" s="115">
        <v>1436</v>
      </c>
      <c r="J42" s="585">
        <v>0</v>
      </c>
      <c r="K42" s="128">
        <f t="shared" si="0"/>
        <v>2556</v>
      </c>
      <c r="L42" s="128"/>
    </row>
    <row r="43" spans="1:19">
      <c r="A43" s="128">
        <v>33</v>
      </c>
      <c r="B43" s="385" t="s">
        <v>921</v>
      </c>
      <c r="C43" s="115">
        <v>247364</v>
      </c>
      <c r="D43" s="115">
        <v>4033</v>
      </c>
      <c r="E43" s="115">
        <v>4033</v>
      </c>
      <c r="F43" s="585">
        <v>0</v>
      </c>
      <c r="G43" s="115">
        <v>128529</v>
      </c>
      <c r="H43" s="115">
        <v>2689</v>
      </c>
      <c r="I43" s="115">
        <v>2689</v>
      </c>
      <c r="J43" s="585">
        <v>0</v>
      </c>
      <c r="K43" s="128">
        <f t="shared" si="0"/>
        <v>6722</v>
      </c>
      <c r="L43" s="117"/>
    </row>
    <row r="44" spans="1:19" ht="15">
      <c r="A44" s="313" t="s">
        <v>19</v>
      </c>
      <c r="B44" s="115"/>
      <c r="C44" s="128">
        <f>SUM(C11:C43)</f>
        <v>4103422</v>
      </c>
      <c r="D44" s="128">
        <f t="shared" ref="D44:L44" si="1">SUM(D11:D43)</f>
        <v>67499</v>
      </c>
      <c r="E44" s="128">
        <f t="shared" si="1"/>
        <v>67499</v>
      </c>
      <c r="F44" s="128">
        <f t="shared" si="1"/>
        <v>0</v>
      </c>
      <c r="G44" s="128">
        <f t="shared" si="1"/>
        <v>2161924</v>
      </c>
      <c r="H44" s="128">
        <f t="shared" si="1"/>
        <v>42423</v>
      </c>
      <c r="I44" s="128">
        <f t="shared" si="1"/>
        <v>42423</v>
      </c>
      <c r="J44" s="128">
        <f t="shared" si="1"/>
        <v>0</v>
      </c>
      <c r="K44" s="128">
        <f t="shared" si="1"/>
        <v>109922</v>
      </c>
      <c r="L44" s="128">
        <f t="shared" si="1"/>
        <v>16109</v>
      </c>
      <c r="O44" s="766"/>
    </row>
    <row r="45" spans="1:19" ht="17.25" customHeight="1">
      <c r="A45" s="1127" t="s">
        <v>119</v>
      </c>
      <c r="B45" s="1128"/>
      <c r="C45" s="1128"/>
      <c r="D45" s="1128"/>
      <c r="E45" s="1128"/>
      <c r="F45" s="1128"/>
      <c r="G45" s="1128"/>
      <c r="H45" s="1128"/>
      <c r="I45" s="1128"/>
      <c r="J45" s="1128"/>
      <c r="K45" s="1129"/>
      <c r="L45" s="1129"/>
    </row>
    <row r="46" spans="1:19">
      <c r="O46" s="767"/>
    </row>
    <row r="47" spans="1:19" s="15" customFormat="1" ht="15.75" customHeight="1">
      <c r="A47" s="851" t="s">
        <v>12</v>
      </c>
      <c r="B47" s="851"/>
      <c r="C47" s="1"/>
      <c r="D47" s="14"/>
      <c r="E47" s="14"/>
      <c r="H47" s="87"/>
      <c r="I47" s="87"/>
      <c r="J47" s="77"/>
      <c r="K47" s="866" t="s">
        <v>13</v>
      </c>
      <c r="L47" s="866"/>
      <c r="M47" s="36"/>
    </row>
    <row r="48" spans="1:19" s="15" customFormat="1" ht="13.15" customHeight="1">
      <c r="J48" s="36" t="s">
        <v>14</v>
      </c>
      <c r="K48" s="36"/>
      <c r="L48" s="36"/>
      <c r="M48" s="36"/>
      <c r="N48" s="88"/>
      <c r="O48" s="88"/>
      <c r="P48" s="88"/>
      <c r="Q48" s="88"/>
      <c r="R48" s="88"/>
      <c r="S48" s="88"/>
    </row>
    <row r="49" spans="2:19" s="15" customFormat="1" ht="12.75">
      <c r="J49" s="36" t="s">
        <v>90</v>
      </c>
      <c r="K49" s="36"/>
      <c r="L49" s="36"/>
      <c r="M49" s="36"/>
      <c r="N49" s="88"/>
      <c r="O49" s="88"/>
      <c r="P49" s="88"/>
      <c r="Q49" s="88"/>
      <c r="R49" s="88"/>
      <c r="S49" s="88"/>
    </row>
    <row r="50" spans="2:19" s="15" customFormat="1" ht="15">
      <c r="B50" s="14"/>
      <c r="C50" s="14"/>
      <c r="D50" s="14"/>
      <c r="E50" s="14"/>
      <c r="J50" s="850" t="s">
        <v>87</v>
      </c>
      <c r="K50" s="850"/>
      <c r="L50" s="850"/>
      <c r="M50" s="77"/>
    </row>
    <row r="59" spans="2:19">
      <c r="N59" s="786"/>
    </row>
    <row r="62" spans="2:19">
      <c r="G62" s="75">
        <f>F60+G60+I60+J60</f>
        <v>0</v>
      </c>
    </row>
  </sheetData>
  <mergeCells count="21">
    <mergeCell ref="K1:L1"/>
    <mergeCell ref="B2:J2"/>
    <mergeCell ref="B3:J3"/>
    <mergeCell ref="G7:J7"/>
    <mergeCell ref="A6:B6"/>
    <mergeCell ref="B5:L5"/>
    <mergeCell ref="K7:K9"/>
    <mergeCell ref="E8:F8"/>
    <mergeCell ref="I8:J8"/>
    <mergeCell ref="J50:L50"/>
    <mergeCell ref="L7:L9"/>
    <mergeCell ref="A45:L45"/>
    <mergeCell ref="A7:A9"/>
    <mergeCell ref="B7:B9"/>
    <mergeCell ref="K47:L47"/>
    <mergeCell ref="A47:B47"/>
    <mergeCell ref="C8:C9"/>
    <mergeCell ref="H8:H9"/>
    <mergeCell ref="G8:G9"/>
    <mergeCell ref="C7:F7"/>
    <mergeCell ref="D8:D9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2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O68"/>
  <sheetViews>
    <sheetView view="pageBreakPreview" topLeftCell="G1" zoomScaleNormal="90" zoomScaleSheetLayoutView="100" workbookViewId="0">
      <selection activeCell="Y29" sqref="Y29"/>
    </sheetView>
  </sheetViews>
  <sheetFormatPr defaultRowHeight="12.75"/>
  <cols>
    <col min="1" max="1" width="4.7109375" style="186" customWidth="1"/>
    <col min="2" max="2" width="35" style="186" customWidth="1"/>
    <col min="3" max="3" width="10" style="186" customWidth="1"/>
    <col min="4" max="4" width="6.5703125" style="186" bestFit="1" customWidth="1"/>
    <col min="5" max="5" width="9" style="186" customWidth="1"/>
    <col min="6" max="10" width="7.85546875" style="186" customWidth="1"/>
    <col min="11" max="11" width="9.85546875" style="186" customWidth="1"/>
    <col min="12" max="12" width="9.42578125" style="186" customWidth="1"/>
    <col min="13" max="13" width="9.7109375" style="186" customWidth="1"/>
    <col min="14" max="14" width="10.42578125" style="186" customWidth="1"/>
    <col min="15" max="15" width="9.140625" style="186" customWidth="1"/>
    <col min="16" max="16" width="10.85546875" style="186" customWidth="1"/>
    <col min="17" max="17" width="8" style="186" customWidth="1"/>
    <col min="18" max="18" width="9.5703125" style="186" customWidth="1"/>
    <col min="19" max="20" width="8" style="186" customWidth="1"/>
    <col min="21" max="21" width="10.28515625" style="186" customWidth="1"/>
    <col min="22" max="22" width="8" style="186" customWidth="1"/>
    <col min="23" max="23" width="9.28515625" style="186" customWidth="1"/>
    <col min="24" max="16384" width="9.140625" style="186"/>
  </cols>
  <sheetData>
    <row r="1" spans="1:249" ht="15">
      <c r="O1" s="1146" t="s">
        <v>557</v>
      </c>
      <c r="P1" s="1146"/>
      <c r="Q1" s="1146"/>
      <c r="R1" s="1146"/>
      <c r="S1" s="1146"/>
      <c r="T1" s="1146"/>
      <c r="U1" s="1146"/>
    </row>
    <row r="2" spans="1:249" ht="15.75">
      <c r="G2" s="187"/>
      <c r="H2" s="187"/>
      <c r="I2" s="188"/>
      <c r="J2" s="187" t="s">
        <v>0</v>
      </c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1:249" ht="15.75">
      <c r="F3" s="187"/>
      <c r="G3" s="187"/>
      <c r="H3" s="187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1:249" ht="18">
      <c r="B4" s="1147" t="s">
        <v>705</v>
      </c>
      <c r="C4" s="1147"/>
      <c r="D4" s="1147"/>
      <c r="E4" s="1147"/>
      <c r="F4" s="1147"/>
      <c r="G4" s="1147"/>
      <c r="H4" s="1147"/>
      <c r="I4" s="1147"/>
      <c r="J4" s="1147"/>
      <c r="K4" s="1147"/>
      <c r="L4" s="1147"/>
      <c r="M4" s="1147"/>
      <c r="N4" s="1147"/>
      <c r="O4" s="1147"/>
      <c r="P4" s="1147"/>
      <c r="Q4" s="1147"/>
      <c r="R4" s="1147"/>
      <c r="S4" s="1147"/>
      <c r="T4" s="1147"/>
      <c r="U4" s="1147"/>
    </row>
    <row r="6" spans="1:249" ht="15.75">
      <c r="B6" s="1148" t="s">
        <v>719</v>
      </c>
      <c r="C6" s="1148"/>
      <c r="D6" s="1148"/>
      <c r="E6" s="1148"/>
      <c r="F6" s="1148"/>
      <c r="G6" s="1148"/>
      <c r="H6" s="1148"/>
      <c r="I6" s="1148"/>
      <c r="J6" s="1148"/>
      <c r="K6" s="1148"/>
      <c r="L6" s="1148"/>
      <c r="M6" s="1148"/>
      <c r="N6" s="1148"/>
      <c r="O6" s="1148"/>
      <c r="P6" s="1148"/>
      <c r="Q6" s="1148"/>
      <c r="R6" s="1148"/>
      <c r="S6" s="1148"/>
      <c r="T6" s="1148"/>
      <c r="U6" s="1148"/>
    </row>
    <row r="8" spans="1:249">
      <c r="A8" s="1142" t="s">
        <v>922</v>
      </c>
      <c r="B8" s="1142"/>
      <c r="Y8" s="186">
        <f>3547.44</f>
        <v>3547.44</v>
      </c>
    </row>
    <row r="9" spans="1:249" ht="18">
      <c r="A9" s="189"/>
      <c r="B9" s="189"/>
      <c r="V9" s="1152" t="s">
        <v>253</v>
      </c>
      <c r="W9" s="1152"/>
    </row>
    <row r="10" spans="1:249" ht="12.75" customHeight="1">
      <c r="A10" s="1153" t="s">
        <v>2</v>
      </c>
      <c r="B10" s="1153" t="s">
        <v>114</v>
      </c>
      <c r="C10" s="1155" t="s">
        <v>27</v>
      </c>
      <c r="D10" s="1156"/>
      <c r="E10" s="1156"/>
      <c r="F10" s="1156"/>
      <c r="G10" s="1156"/>
      <c r="H10" s="1156"/>
      <c r="I10" s="1156"/>
      <c r="J10" s="1156"/>
      <c r="K10" s="1157"/>
      <c r="L10" s="1155" t="s">
        <v>28</v>
      </c>
      <c r="M10" s="1156"/>
      <c r="N10" s="1156"/>
      <c r="O10" s="1156"/>
      <c r="P10" s="1156"/>
      <c r="Q10" s="1156"/>
      <c r="R10" s="1156"/>
      <c r="S10" s="1156"/>
      <c r="T10" s="1157"/>
      <c r="U10" s="1158" t="s">
        <v>144</v>
      </c>
      <c r="V10" s="1159"/>
      <c r="W10" s="1160"/>
      <c r="X10" s="191"/>
      <c r="Y10" s="191"/>
      <c r="Z10" s="191"/>
      <c r="AA10" s="191"/>
      <c r="AB10" s="191"/>
      <c r="AC10" s="192" t="s">
        <v>1056</v>
      </c>
      <c r="AD10" s="192" t="s">
        <v>1057</v>
      </c>
      <c r="AE10" s="191" t="s">
        <v>991</v>
      </c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</row>
    <row r="11" spans="1:249" ht="12.75" customHeight="1">
      <c r="A11" s="1154"/>
      <c r="B11" s="1154"/>
      <c r="C11" s="1149" t="s">
        <v>178</v>
      </c>
      <c r="D11" s="1150"/>
      <c r="E11" s="1151"/>
      <c r="F11" s="1149" t="s">
        <v>179</v>
      </c>
      <c r="G11" s="1150"/>
      <c r="H11" s="1151"/>
      <c r="I11" s="1149" t="s">
        <v>19</v>
      </c>
      <c r="J11" s="1150"/>
      <c r="K11" s="1151"/>
      <c r="L11" s="1149" t="s">
        <v>178</v>
      </c>
      <c r="M11" s="1150"/>
      <c r="N11" s="1151"/>
      <c r="O11" s="1149" t="s">
        <v>179</v>
      </c>
      <c r="P11" s="1150"/>
      <c r="Q11" s="1151"/>
      <c r="R11" s="1149" t="s">
        <v>19</v>
      </c>
      <c r="S11" s="1150"/>
      <c r="T11" s="1151"/>
      <c r="U11" s="1161"/>
      <c r="V11" s="1162"/>
      <c r="W11" s="1163"/>
      <c r="X11" s="191"/>
      <c r="Y11" s="191"/>
      <c r="Z11" s="191"/>
      <c r="AA11" s="191"/>
      <c r="AB11" s="191" t="s">
        <v>1058</v>
      </c>
      <c r="AC11" s="191">
        <v>49478.6</v>
      </c>
      <c r="AD11" s="191">
        <v>39633.760000000002</v>
      </c>
      <c r="AE11" s="191">
        <f>AD11+AC11</f>
        <v>89112.36</v>
      </c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</row>
    <row r="12" spans="1:249">
      <c r="A12" s="190"/>
      <c r="B12" s="190"/>
      <c r="C12" s="193" t="s">
        <v>254</v>
      </c>
      <c r="D12" s="194" t="s">
        <v>46</v>
      </c>
      <c r="E12" s="195" t="s">
        <v>47</v>
      </c>
      <c r="F12" s="193" t="s">
        <v>254</v>
      </c>
      <c r="G12" s="194" t="s">
        <v>46</v>
      </c>
      <c r="H12" s="195" t="s">
        <v>47</v>
      </c>
      <c r="I12" s="193" t="s">
        <v>254</v>
      </c>
      <c r="J12" s="194" t="s">
        <v>46</v>
      </c>
      <c r="K12" s="195" t="s">
        <v>47</v>
      </c>
      <c r="L12" s="193" t="s">
        <v>254</v>
      </c>
      <c r="M12" s="194" t="s">
        <v>46</v>
      </c>
      <c r="N12" s="195" t="s">
        <v>47</v>
      </c>
      <c r="O12" s="193" t="s">
        <v>254</v>
      </c>
      <c r="P12" s="194" t="s">
        <v>46</v>
      </c>
      <c r="Q12" s="195" t="s">
        <v>47</v>
      </c>
      <c r="R12" s="193" t="s">
        <v>254</v>
      </c>
      <c r="S12" s="194" t="s">
        <v>46</v>
      </c>
      <c r="T12" s="195" t="s">
        <v>47</v>
      </c>
      <c r="U12" s="190" t="s">
        <v>254</v>
      </c>
      <c r="V12" s="190" t="s">
        <v>46</v>
      </c>
      <c r="W12" s="190" t="s">
        <v>47</v>
      </c>
      <c r="X12" s="191"/>
      <c r="Y12" s="191"/>
      <c r="Z12" s="191"/>
      <c r="AA12" s="191"/>
      <c r="AB12" s="191" t="s">
        <v>1059</v>
      </c>
      <c r="AC12" s="191">
        <v>21205.1</v>
      </c>
      <c r="AD12" s="191">
        <v>16985.900000000001</v>
      </c>
      <c r="AE12" s="191">
        <f t="shared" ref="AE12:AE16" si="0">AD12+AC12</f>
        <v>38191</v>
      </c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</row>
    <row r="13" spans="1:249">
      <c r="A13" s="190">
        <v>1</v>
      </c>
      <c r="B13" s="190">
        <v>2</v>
      </c>
      <c r="C13" s="190">
        <v>3</v>
      </c>
      <c r="D13" s="190">
        <v>4</v>
      </c>
      <c r="E13" s="190">
        <v>5</v>
      </c>
      <c r="F13" s="190">
        <v>7</v>
      </c>
      <c r="G13" s="190">
        <v>8</v>
      </c>
      <c r="H13" s="190">
        <v>9</v>
      </c>
      <c r="I13" s="190">
        <v>11</v>
      </c>
      <c r="J13" s="190">
        <v>12</v>
      </c>
      <c r="K13" s="190">
        <v>13</v>
      </c>
      <c r="L13" s="190">
        <v>15</v>
      </c>
      <c r="M13" s="190">
        <v>16</v>
      </c>
      <c r="N13" s="190">
        <v>17</v>
      </c>
      <c r="O13" s="190">
        <v>19</v>
      </c>
      <c r="P13" s="190">
        <v>20</v>
      </c>
      <c r="Q13" s="190">
        <v>21</v>
      </c>
      <c r="R13" s="190">
        <v>23</v>
      </c>
      <c r="S13" s="190">
        <v>24</v>
      </c>
      <c r="T13" s="190">
        <v>25</v>
      </c>
      <c r="U13" s="190">
        <v>27</v>
      </c>
      <c r="V13" s="190">
        <v>28</v>
      </c>
      <c r="W13" s="190">
        <v>29</v>
      </c>
      <c r="X13" s="196"/>
      <c r="Y13" s="196"/>
      <c r="Z13" s="196"/>
      <c r="AA13" s="196"/>
      <c r="AB13" s="191" t="s">
        <v>1058</v>
      </c>
      <c r="AC13" s="196"/>
      <c r="AD13" s="196">
        <v>54.88</v>
      </c>
      <c r="AE13" s="191">
        <f t="shared" si="0"/>
        <v>54.88</v>
      </c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</row>
    <row r="14" spans="1:249" ht="12.75" customHeight="1">
      <c r="A14" s="1167" t="s">
        <v>246</v>
      </c>
      <c r="B14" s="1168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7"/>
      <c r="V14" s="198"/>
      <c r="W14" s="198"/>
      <c r="X14" s="196"/>
      <c r="Y14" s="196"/>
      <c r="Z14" s="196"/>
      <c r="AA14" s="196"/>
      <c r="AB14" s="191" t="s">
        <v>1059</v>
      </c>
      <c r="AC14" s="196"/>
      <c r="AD14" s="196">
        <v>23.52</v>
      </c>
      <c r="AE14" s="191">
        <f t="shared" si="0"/>
        <v>23.52</v>
      </c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6"/>
      <c r="DS14" s="196"/>
      <c r="DT14" s="196"/>
      <c r="DU14" s="196"/>
      <c r="DV14" s="196"/>
      <c r="DW14" s="196"/>
      <c r="DX14" s="196"/>
      <c r="DY14" s="196"/>
      <c r="DZ14" s="196"/>
      <c r="EA14" s="196"/>
      <c r="EB14" s="196"/>
      <c r="EC14" s="196"/>
      <c r="ED14" s="196"/>
      <c r="EE14" s="196"/>
      <c r="EF14" s="196"/>
      <c r="EG14" s="196"/>
      <c r="EH14" s="196"/>
      <c r="EI14" s="196"/>
      <c r="EJ14" s="196"/>
      <c r="EK14" s="196"/>
      <c r="EL14" s="196"/>
      <c r="EM14" s="196"/>
      <c r="EN14" s="196"/>
      <c r="EO14" s="196"/>
      <c r="EP14" s="196"/>
      <c r="EQ14" s="196"/>
      <c r="ER14" s="196"/>
      <c r="ES14" s="196"/>
      <c r="ET14" s="196"/>
      <c r="EU14" s="196"/>
      <c r="EV14" s="196"/>
      <c r="EW14" s="196"/>
      <c r="EX14" s="196"/>
      <c r="EY14" s="196"/>
      <c r="EZ14" s="196"/>
      <c r="FA14" s="196"/>
      <c r="FB14" s="196"/>
      <c r="FC14" s="196"/>
      <c r="FD14" s="196"/>
      <c r="FE14" s="196"/>
      <c r="FF14" s="196"/>
      <c r="FG14" s="196"/>
      <c r="FH14" s="196"/>
      <c r="FI14" s="196"/>
      <c r="FJ14" s="196"/>
      <c r="FK14" s="196"/>
      <c r="FL14" s="196"/>
      <c r="FM14" s="196"/>
      <c r="FN14" s="196"/>
      <c r="FO14" s="196"/>
      <c r="FP14" s="196"/>
      <c r="FQ14" s="196"/>
      <c r="FR14" s="196"/>
      <c r="FS14" s="196"/>
      <c r="FT14" s="196"/>
      <c r="FU14" s="196"/>
      <c r="FV14" s="196"/>
      <c r="FW14" s="196"/>
      <c r="FX14" s="196"/>
      <c r="FY14" s="196"/>
      <c r="FZ14" s="196"/>
      <c r="GA14" s="196"/>
      <c r="GB14" s="196"/>
      <c r="GC14" s="196"/>
      <c r="GD14" s="196"/>
      <c r="GE14" s="196"/>
      <c r="GF14" s="196"/>
      <c r="GG14" s="196"/>
      <c r="GH14" s="196"/>
      <c r="GI14" s="196"/>
      <c r="GJ14" s="196"/>
      <c r="GK14" s="196"/>
      <c r="GL14" s="196"/>
      <c r="GM14" s="196"/>
      <c r="GN14" s="196"/>
      <c r="GO14" s="196"/>
      <c r="GP14" s="196"/>
      <c r="GQ14" s="196"/>
      <c r="GR14" s="196"/>
      <c r="GS14" s="196"/>
      <c r="GT14" s="196"/>
      <c r="GU14" s="196"/>
      <c r="GV14" s="196"/>
      <c r="GW14" s="196"/>
      <c r="GX14" s="196"/>
      <c r="GY14" s="196"/>
      <c r="GZ14" s="196"/>
      <c r="HA14" s="196"/>
      <c r="HB14" s="196"/>
      <c r="HC14" s="196"/>
      <c r="HD14" s="196"/>
      <c r="HE14" s="196"/>
      <c r="HF14" s="196"/>
      <c r="HG14" s="196"/>
      <c r="HH14" s="196"/>
      <c r="HI14" s="196"/>
      <c r="HJ14" s="196"/>
      <c r="HK14" s="196"/>
      <c r="HL14" s="196"/>
      <c r="HM14" s="196"/>
      <c r="HN14" s="196"/>
      <c r="HO14" s="196"/>
      <c r="HP14" s="196"/>
      <c r="HQ14" s="196"/>
      <c r="HR14" s="196"/>
      <c r="HS14" s="196"/>
      <c r="HT14" s="196"/>
      <c r="HU14" s="196"/>
      <c r="HV14" s="196"/>
      <c r="HW14" s="196"/>
      <c r="HX14" s="196"/>
      <c r="HY14" s="196"/>
      <c r="HZ14" s="196"/>
      <c r="IA14" s="196"/>
      <c r="IB14" s="196"/>
      <c r="IC14" s="196"/>
      <c r="ID14" s="196"/>
      <c r="IE14" s="196"/>
      <c r="IF14" s="196"/>
      <c r="IG14" s="196"/>
      <c r="IH14" s="196"/>
      <c r="II14" s="196"/>
      <c r="IJ14" s="196"/>
      <c r="IK14" s="196"/>
      <c r="IL14" s="196"/>
      <c r="IM14" s="196"/>
      <c r="IN14" s="196"/>
      <c r="IO14" s="196"/>
    </row>
    <row r="15" spans="1:249">
      <c r="A15" s="199">
        <v>1</v>
      </c>
      <c r="B15" s="200" t="s">
        <v>129</v>
      </c>
      <c r="C15" s="744">
        <v>979.13</v>
      </c>
      <c r="D15" s="744">
        <v>402.14</v>
      </c>
      <c r="E15" s="744">
        <v>367.17</v>
      </c>
      <c r="F15" s="744"/>
      <c r="G15" s="744"/>
      <c r="H15" s="744"/>
      <c r="I15" s="744">
        <f t="shared" ref="I15:K17" si="1">C15+F15</f>
        <v>979.13</v>
      </c>
      <c r="J15" s="744">
        <f t="shared" si="1"/>
        <v>402.14</v>
      </c>
      <c r="K15" s="744">
        <f t="shared" si="1"/>
        <v>367.17</v>
      </c>
      <c r="L15" s="744">
        <v>801.92</v>
      </c>
      <c r="M15" s="744">
        <v>329.36</v>
      </c>
      <c r="N15" s="744">
        <v>300.72000000000003</v>
      </c>
      <c r="O15" s="744"/>
      <c r="P15" s="744"/>
      <c r="Q15" s="744"/>
      <c r="R15" s="744">
        <f>L15+O15</f>
        <v>801.92</v>
      </c>
      <c r="S15" s="744">
        <f>M15+P15</f>
        <v>329.36</v>
      </c>
      <c r="T15" s="744">
        <f>N15+Q15</f>
        <v>300.72000000000003</v>
      </c>
      <c r="U15" s="744">
        <f t="shared" ref="U15:W19" si="2">I15+R15</f>
        <v>1781.05</v>
      </c>
      <c r="V15" s="744">
        <f t="shared" si="2"/>
        <v>731.5</v>
      </c>
      <c r="W15" s="744">
        <f t="shared" si="2"/>
        <v>667.8900000000001</v>
      </c>
      <c r="X15" s="186">
        <f>U15+V15+W15</f>
        <v>3180.4400000000005</v>
      </c>
      <c r="AB15" s="191" t="s">
        <v>1058</v>
      </c>
      <c r="AC15" s="186">
        <v>925.46</v>
      </c>
      <c r="AD15" s="186">
        <v>594.94000000000005</v>
      </c>
      <c r="AE15" s="191">
        <f t="shared" si="0"/>
        <v>1520.4</v>
      </c>
    </row>
    <row r="16" spans="1:249">
      <c r="A16" s="199">
        <v>2</v>
      </c>
      <c r="B16" s="202" t="s">
        <v>482</v>
      </c>
      <c r="C16" s="744">
        <v>11110.94</v>
      </c>
      <c r="D16" s="744">
        <v>4563.42</v>
      </c>
      <c r="E16" s="744">
        <v>4166.6000000000004</v>
      </c>
      <c r="F16" s="744">
        <v>7407.29</v>
      </c>
      <c r="G16" s="744">
        <v>3042.28</v>
      </c>
      <c r="H16" s="744">
        <v>2777.73</v>
      </c>
      <c r="I16" s="744">
        <f t="shared" si="1"/>
        <v>18518.23</v>
      </c>
      <c r="J16" s="744">
        <f t="shared" si="1"/>
        <v>7605.7000000000007</v>
      </c>
      <c r="K16" s="744">
        <f t="shared" si="1"/>
        <v>6944.33</v>
      </c>
      <c r="L16" s="744">
        <v>9079.16</v>
      </c>
      <c r="M16" s="744">
        <v>3728.93</v>
      </c>
      <c r="N16" s="744">
        <v>3404.67</v>
      </c>
      <c r="O16" s="744">
        <v>6052.76</v>
      </c>
      <c r="P16" s="744">
        <v>2485.96</v>
      </c>
      <c r="Q16" s="744">
        <v>2269.7800000000002</v>
      </c>
      <c r="R16" s="744">
        <f>L16+O16</f>
        <v>15131.92</v>
      </c>
      <c r="S16" s="744">
        <f t="shared" ref="S16:S19" si="3">M16+P16</f>
        <v>6214.8899999999994</v>
      </c>
      <c r="T16" s="744">
        <f t="shared" ref="T16:T19" si="4">N16+Q16</f>
        <v>5674.4500000000007</v>
      </c>
      <c r="U16" s="744">
        <f t="shared" si="2"/>
        <v>33650.15</v>
      </c>
      <c r="V16" s="744">
        <f t="shared" si="2"/>
        <v>13820.59</v>
      </c>
      <c r="W16" s="744">
        <f t="shared" si="2"/>
        <v>12618.78</v>
      </c>
      <c r="X16" s="186">
        <f t="shared" ref="X16:X26" si="5">U16+V16+W16</f>
        <v>60089.520000000004</v>
      </c>
      <c r="AB16" s="191" t="s">
        <v>1059</v>
      </c>
      <c r="AC16" s="186">
        <v>396.63</v>
      </c>
      <c r="AD16" s="186">
        <v>254.97</v>
      </c>
      <c r="AE16" s="191">
        <f t="shared" si="0"/>
        <v>651.6</v>
      </c>
    </row>
    <row r="17" spans="1:31" ht="15" customHeight="1">
      <c r="A17" s="199">
        <v>3</v>
      </c>
      <c r="B17" s="202" t="s">
        <v>133</v>
      </c>
      <c r="C17" s="744">
        <v>2306.54</v>
      </c>
      <c r="D17" s="744">
        <v>947.34</v>
      </c>
      <c r="E17" s="744">
        <v>864.95</v>
      </c>
      <c r="F17" s="744">
        <v>2767.85</v>
      </c>
      <c r="G17" s="744">
        <v>1136.8</v>
      </c>
      <c r="H17" s="744">
        <v>1037.94</v>
      </c>
      <c r="I17" s="744">
        <f t="shared" si="1"/>
        <v>5074.3899999999994</v>
      </c>
      <c r="J17" s="744">
        <f t="shared" si="1"/>
        <v>2084.14</v>
      </c>
      <c r="K17" s="744">
        <f t="shared" si="1"/>
        <v>1902.89</v>
      </c>
      <c r="L17" s="744">
        <v>1464.42</v>
      </c>
      <c r="M17" s="744">
        <v>601.45000000000005</v>
      </c>
      <c r="N17" s="744">
        <v>549.16</v>
      </c>
      <c r="O17" s="744">
        <v>1757.3</v>
      </c>
      <c r="P17" s="744">
        <v>721.75</v>
      </c>
      <c r="Q17" s="744">
        <v>658.99</v>
      </c>
      <c r="R17" s="744">
        <f>L17+O17</f>
        <v>3221.7200000000003</v>
      </c>
      <c r="S17" s="744">
        <f t="shared" si="3"/>
        <v>1323.2</v>
      </c>
      <c r="T17" s="744">
        <f t="shared" si="4"/>
        <v>1208.1500000000001</v>
      </c>
      <c r="U17" s="744">
        <f t="shared" si="2"/>
        <v>8296.11</v>
      </c>
      <c r="V17" s="744">
        <f t="shared" si="2"/>
        <v>3407.34</v>
      </c>
      <c r="W17" s="744">
        <f t="shared" si="2"/>
        <v>3111.04</v>
      </c>
      <c r="X17" s="186">
        <f t="shared" si="5"/>
        <v>14814.490000000002</v>
      </c>
    </row>
    <row r="18" spans="1:31" ht="12.6" customHeight="1">
      <c r="A18" s="199">
        <v>4</v>
      </c>
      <c r="B18" s="202" t="s">
        <v>131</v>
      </c>
      <c r="C18" s="744">
        <v>727.96</v>
      </c>
      <c r="D18" s="744">
        <v>298.98</v>
      </c>
      <c r="E18" s="744">
        <v>272.99</v>
      </c>
      <c r="F18" s="744"/>
      <c r="G18" s="744"/>
      <c r="H18" s="744"/>
      <c r="I18" s="744">
        <f t="shared" ref="I18:I19" si="6">C18+F18</f>
        <v>727.96</v>
      </c>
      <c r="J18" s="744">
        <f t="shared" ref="J18:J19" si="7">D18+G18</f>
        <v>298.98</v>
      </c>
      <c r="K18" s="744">
        <f t="shared" ref="K18:K19" si="8">E18+H18</f>
        <v>272.99</v>
      </c>
      <c r="L18" s="744">
        <v>596.25</v>
      </c>
      <c r="M18" s="744">
        <v>244.89</v>
      </c>
      <c r="N18" s="744">
        <v>223.6</v>
      </c>
      <c r="O18" s="744"/>
      <c r="P18" s="744"/>
      <c r="Q18" s="744"/>
      <c r="R18" s="744">
        <f>L18+O18</f>
        <v>596.25</v>
      </c>
      <c r="S18" s="744">
        <f t="shared" si="3"/>
        <v>244.89</v>
      </c>
      <c r="T18" s="744">
        <f t="shared" si="4"/>
        <v>223.6</v>
      </c>
      <c r="U18" s="744">
        <f t="shared" si="2"/>
        <v>1324.21</v>
      </c>
      <c r="V18" s="744">
        <f t="shared" si="2"/>
        <v>543.87</v>
      </c>
      <c r="W18" s="744">
        <f t="shared" si="2"/>
        <v>496.59000000000003</v>
      </c>
      <c r="X18" s="186">
        <f t="shared" si="5"/>
        <v>2364.67</v>
      </c>
      <c r="AC18" s="186">
        <f>AE11+AE13+AE15</f>
        <v>90687.64</v>
      </c>
      <c r="AD18" s="186">
        <f>AE12+AE14+AE16</f>
        <v>38866.119999999995</v>
      </c>
    </row>
    <row r="19" spans="1:31">
      <c r="A19" s="199">
        <v>5</v>
      </c>
      <c r="B19" s="200" t="s">
        <v>132</v>
      </c>
      <c r="C19" s="744">
        <v>346.09</v>
      </c>
      <c r="D19" s="744">
        <v>142.13999999999999</v>
      </c>
      <c r="E19" s="744">
        <v>129.78</v>
      </c>
      <c r="F19" s="744"/>
      <c r="G19" s="744"/>
      <c r="H19" s="744"/>
      <c r="I19" s="744">
        <f t="shared" si="6"/>
        <v>346.09</v>
      </c>
      <c r="J19" s="744">
        <f t="shared" si="7"/>
        <v>142.13999999999999</v>
      </c>
      <c r="K19" s="744">
        <f t="shared" si="8"/>
        <v>129.78</v>
      </c>
      <c r="L19" s="744">
        <v>282.89</v>
      </c>
      <c r="M19" s="744">
        <v>116.19</v>
      </c>
      <c r="N19" s="744">
        <v>106.08</v>
      </c>
      <c r="O19" s="744"/>
      <c r="P19" s="744"/>
      <c r="Q19" s="744"/>
      <c r="R19" s="744">
        <f>L19+O19</f>
        <v>282.89</v>
      </c>
      <c r="S19" s="744">
        <f t="shared" si="3"/>
        <v>116.19</v>
      </c>
      <c r="T19" s="744">
        <f t="shared" si="4"/>
        <v>106.08</v>
      </c>
      <c r="U19" s="744">
        <f t="shared" si="2"/>
        <v>628.98</v>
      </c>
      <c r="V19" s="744">
        <f t="shared" si="2"/>
        <v>258.33</v>
      </c>
      <c r="W19" s="744">
        <f t="shared" si="2"/>
        <v>235.86</v>
      </c>
      <c r="X19" s="186">
        <f t="shared" si="5"/>
        <v>1123.17</v>
      </c>
      <c r="AC19" s="186">
        <f>AC18*2000/100000</f>
        <v>1813.7528</v>
      </c>
      <c r="AD19" s="186">
        <f>AD18*3000/100000</f>
        <v>1165.9835999999998</v>
      </c>
      <c r="AE19" s="186">
        <f>AD19+AC19</f>
        <v>2979.7363999999998</v>
      </c>
    </row>
    <row r="20" spans="1:31" ht="12.75" customHeight="1">
      <c r="A20" s="1167" t="s">
        <v>247</v>
      </c>
      <c r="B20" s="1168"/>
      <c r="C20" s="744"/>
      <c r="D20" s="744"/>
      <c r="E20" s="744"/>
      <c r="F20" s="744"/>
      <c r="G20" s="744"/>
      <c r="H20" s="744"/>
      <c r="I20" s="744"/>
      <c r="J20" s="744"/>
      <c r="K20" s="744"/>
      <c r="L20" s="744"/>
      <c r="M20" s="744"/>
      <c r="N20" s="744"/>
      <c r="O20" s="744"/>
      <c r="P20" s="744"/>
      <c r="Q20" s="744"/>
      <c r="R20" s="744"/>
      <c r="S20" s="744"/>
      <c r="T20" s="744"/>
      <c r="U20" s="744"/>
      <c r="V20" s="744"/>
      <c r="W20" s="744"/>
      <c r="X20" s="186">
        <f t="shared" si="5"/>
        <v>0</v>
      </c>
    </row>
    <row r="21" spans="1:31">
      <c r="A21" s="199">
        <v>6</v>
      </c>
      <c r="B21" s="200" t="s">
        <v>134</v>
      </c>
      <c r="C21" s="744"/>
      <c r="D21" s="744"/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186">
        <f t="shared" si="5"/>
        <v>0</v>
      </c>
    </row>
    <row r="22" spans="1:31">
      <c r="A22" s="199">
        <v>7</v>
      </c>
      <c r="B22" s="200" t="s">
        <v>135</v>
      </c>
      <c r="C22" s="744">
        <v>283.39999999999998</v>
      </c>
      <c r="D22" s="744">
        <v>116.4</v>
      </c>
      <c r="E22" s="744">
        <v>106.28</v>
      </c>
      <c r="F22" s="744">
        <v>188.94</v>
      </c>
      <c r="G22" s="744">
        <v>77.599999999999994</v>
      </c>
      <c r="H22" s="744">
        <v>70.849999999999994</v>
      </c>
      <c r="I22" s="744">
        <f>C22+F22</f>
        <v>472.34</v>
      </c>
      <c r="J22" s="744">
        <f>D22+G22</f>
        <v>194</v>
      </c>
      <c r="K22" s="744">
        <f>E22+H22</f>
        <v>177.13</v>
      </c>
      <c r="L22" s="744">
        <v>139.59</v>
      </c>
      <c r="M22" s="744">
        <v>57.33</v>
      </c>
      <c r="N22" s="744">
        <v>52.34</v>
      </c>
      <c r="O22" s="744">
        <v>93.05</v>
      </c>
      <c r="P22" s="744">
        <v>38.22</v>
      </c>
      <c r="Q22" s="744">
        <v>34.9</v>
      </c>
      <c r="R22" s="744">
        <f>L22+O22</f>
        <v>232.64</v>
      </c>
      <c r="S22" s="744">
        <f>M22+P22</f>
        <v>95.55</v>
      </c>
      <c r="T22" s="744">
        <f>N22+Q22</f>
        <v>87.240000000000009</v>
      </c>
      <c r="U22" s="744">
        <f>I22+R22</f>
        <v>704.98</v>
      </c>
      <c r="V22" s="744">
        <f>J22+S22</f>
        <v>289.55</v>
      </c>
      <c r="W22" s="744">
        <f>K22+T22</f>
        <v>264.37</v>
      </c>
      <c r="X22" s="186">
        <f t="shared" si="5"/>
        <v>1258.9000000000001</v>
      </c>
      <c r="Z22" s="186">
        <f>X15+X16+X17+X18+X19+X22+X25</f>
        <v>86355.839999999997</v>
      </c>
    </row>
    <row r="23" spans="1:31">
      <c r="A23" s="199">
        <v>8</v>
      </c>
      <c r="B23" s="200" t="s">
        <v>845</v>
      </c>
      <c r="C23" s="744"/>
      <c r="D23" s="744"/>
      <c r="E23" s="744"/>
      <c r="F23" s="744"/>
      <c r="G23" s="744"/>
      <c r="H23" s="744"/>
      <c r="I23" s="744"/>
      <c r="J23" s="744"/>
      <c r="K23" s="744"/>
      <c r="L23" s="744"/>
      <c r="M23" s="744"/>
      <c r="N23" s="744"/>
      <c r="O23" s="744"/>
      <c r="P23" s="744"/>
      <c r="Q23" s="744"/>
      <c r="R23" s="744"/>
      <c r="S23" s="744"/>
      <c r="T23" s="744"/>
      <c r="U23" s="744"/>
      <c r="V23" s="744"/>
      <c r="W23" s="744"/>
      <c r="X23" s="186">
        <f t="shared" si="5"/>
        <v>0</v>
      </c>
      <c r="Z23" s="186">
        <f>X22+X25</f>
        <v>4783.5500000000011</v>
      </c>
    </row>
    <row r="24" spans="1:31">
      <c r="A24" s="199"/>
      <c r="B24" s="200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186">
        <f t="shared" si="5"/>
        <v>0</v>
      </c>
      <c r="Z24" s="186">
        <f>Z22-Z23</f>
        <v>81572.289999999994</v>
      </c>
      <c r="AC24" s="741">
        <f>X15+X18+C16+D16+E16+L16+M16+N16</f>
        <v>41598.829999999994</v>
      </c>
      <c r="AD24" s="186">
        <f>AC24*2.7/100</f>
        <v>1123.1684099999998</v>
      </c>
    </row>
    <row r="25" spans="1:31">
      <c r="A25" s="358">
        <v>9</v>
      </c>
      <c r="B25" s="200" t="s">
        <v>864</v>
      </c>
      <c r="C25" s="744">
        <v>941.97</v>
      </c>
      <c r="D25" s="744">
        <v>411.05</v>
      </c>
      <c r="E25" s="744">
        <v>359.66</v>
      </c>
      <c r="F25" s="744"/>
      <c r="G25" s="744"/>
      <c r="H25" s="744"/>
      <c r="I25" s="744">
        <f>C25</f>
        <v>941.97</v>
      </c>
      <c r="J25" s="744">
        <f>D25</f>
        <v>411.05</v>
      </c>
      <c r="K25" s="744">
        <f>E25</f>
        <v>359.66</v>
      </c>
      <c r="L25" s="744">
        <v>996.58</v>
      </c>
      <c r="M25" s="744">
        <v>434.87</v>
      </c>
      <c r="N25" s="744">
        <v>380.52</v>
      </c>
      <c r="O25" s="744"/>
      <c r="P25" s="744"/>
      <c r="Q25" s="744"/>
      <c r="R25" s="744">
        <f>L25</f>
        <v>996.58</v>
      </c>
      <c r="S25" s="744">
        <f>M25</f>
        <v>434.87</v>
      </c>
      <c r="T25" s="744">
        <f>N25</f>
        <v>380.52</v>
      </c>
      <c r="U25" s="744">
        <f>I25+R25</f>
        <v>1938.5500000000002</v>
      </c>
      <c r="V25" s="744">
        <f>J25+S25</f>
        <v>845.92000000000007</v>
      </c>
      <c r="W25" s="744">
        <f>K25+T25</f>
        <v>740.18000000000006</v>
      </c>
      <c r="X25" s="186">
        <f t="shared" si="5"/>
        <v>3524.6500000000005</v>
      </c>
    </row>
    <row r="26" spans="1:31">
      <c r="A26" s="1165" t="s">
        <v>19</v>
      </c>
      <c r="B26" s="1166"/>
      <c r="C26" s="744">
        <f>C25+C22+C19+C18+C17+C16+C15</f>
        <v>16696.030000000002</v>
      </c>
      <c r="D26" s="744">
        <f t="shared" ref="D26:W26" si="9">D25+D22+D19+D18+D17+D16+D15</f>
        <v>6881.47</v>
      </c>
      <c r="E26" s="744">
        <f t="shared" si="9"/>
        <v>6267.43</v>
      </c>
      <c r="F26" s="744">
        <f t="shared" si="9"/>
        <v>10364.08</v>
      </c>
      <c r="G26" s="744">
        <f t="shared" si="9"/>
        <v>4256.68</v>
      </c>
      <c r="H26" s="744">
        <f t="shared" si="9"/>
        <v>3886.52</v>
      </c>
      <c r="I26" s="744">
        <f t="shared" si="9"/>
        <v>27060.11</v>
      </c>
      <c r="J26" s="744">
        <f t="shared" si="9"/>
        <v>11138.15</v>
      </c>
      <c r="K26" s="744">
        <f t="shared" si="9"/>
        <v>10153.949999999999</v>
      </c>
      <c r="L26" s="744">
        <f t="shared" si="9"/>
        <v>13360.81</v>
      </c>
      <c r="M26" s="744">
        <f t="shared" si="9"/>
        <v>5513.0199999999995</v>
      </c>
      <c r="N26" s="744">
        <f t="shared" si="9"/>
        <v>5017.09</v>
      </c>
      <c r="O26" s="744">
        <f t="shared" si="9"/>
        <v>7903.1100000000006</v>
      </c>
      <c r="P26" s="744">
        <f t="shared" si="9"/>
        <v>3245.9300000000003</v>
      </c>
      <c r="Q26" s="744">
        <f t="shared" si="9"/>
        <v>2963.67</v>
      </c>
      <c r="R26" s="744">
        <f t="shared" si="9"/>
        <v>21263.919999999998</v>
      </c>
      <c r="S26" s="744">
        <f t="shared" si="9"/>
        <v>8758.9500000000007</v>
      </c>
      <c r="T26" s="744">
        <f t="shared" si="9"/>
        <v>7980.7600000000011</v>
      </c>
      <c r="U26" s="744">
        <f t="shared" si="9"/>
        <v>48324.030000000006</v>
      </c>
      <c r="V26" s="744">
        <f t="shared" si="9"/>
        <v>19897.099999999999</v>
      </c>
      <c r="W26" s="744">
        <f t="shared" si="9"/>
        <v>18134.71</v>
      </c>
      <c r="X26" s="186">
        <f t="shared" si="5"/>
        <v>86355.839999999997</v>
      </c>
      <c r="Y26" s="741">
        <f>U25+V25+W25</f>
        <v>3524.6500000000005</v>
      </c>
    </row>
    <row r="27" spans="1:31">
      <c r="A27" s="203"/>
      <c r="B27" s="203"/>
    </row>
    <row r="29" spans="1:31">
      <c r="B29" s="186" t="s">
        <v>11</v>
      </c>
    </row>
    <row r="31" spans="1:31">
      <c r="A31" s="1143"/>
      <c r="B31" s="1143"/>
      <c r="C31" s="1143"/>
      <c r="D31" s="1143"/>
      <c r="E31" s="1143"/>
      <c r="F31" s="1143"/>
      <c r="G31" s="1143"/>
      <c r="H31" s="1143"/>
      <c r="I31" s="1143"/>
      <c r="J31" s="204"/>
      <c r="K31" s="204"/>
      <c r="L31" s="204"/>
      <c r="M31" s="204"/>
      <c r="N31" s="204"/>
      <c r="O31" s="1143"/>
      <c r="P31" s="1143"/>
      <c r="Q31" s="1143"/>
      <c r="R31" s="1143"/>
      <c r="S31" s="1143"/>
      <c r="T31" s="1143"/>
      <c r="U31" s="1143"/>
      <c r="Y31" s="186">
        <f>81049.43-X26</f>
        <v>-5306.4100000000035</v>
      </c>
    </row>
    <row r="33" spans="1:25" ht="15.75">
      <c r="A33" s="205" t="s">
        <v>12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R33" s="1145" t="s">
        <v>13</v>
      </c>
      <c r="S33" s="1145"/>
      <c r="T33" s="1145"/>
      <c r="U33" s="1145"/>
    </row>
    <row r="34" spans="1:25" ht="15.75">
      <c r="A34" s="1144" t="s">
        <v>14</v>
      </c>
      <c r="B34" s="1144"/>
      <c r="C34" s="1144"/>
      <c r="D34" s="1144"/>
      <c r="E34" s="1144"/>
      <c r="F34" s="1144"/>
      <c r="G34" s="1144"/>
      <c r="H34" s="1144"/>
      <c r="I34" s="1144"/>
      <c r="J34" s="1144"/>
      <c r="K34" s="1144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</row>
    <row r="35" spans="1:25" ht="15.75">
      <c r="A35" s="1144" t="s">
        <v>15</v>
      </c>
      <c r="B35" s="1144"/>
      <c r="C35" s="1144"/>
      <c r="D35" s="1144"/>
      <c r="E35" s="1144"/>
      <c r="F35" s="1144"/>
      <c r="G35" s="1144"/>
      <c r="H35" s="1144"/>
      <c r="I35" s="1144"/>
      <c r="J35" s="1144"/>
      <c r="K35" s="1144"/>
      <c r="L35" s="1144"/>
      <c r="M35" s="1144"/>
      <c r="N35" s="1144"/>
      <c r="O35" s="1144"/>
      <c r="P35" s="1144"/>
      <c r="Q35" s="1144"/>
      <c r="R35" s="1144"/>
      <c r="S35" s="1144"/>
      <c r="T35" s="1144"/>
      <c r="U35" s="1144"/>
    </row>
    <row r="36" spans="1:25">
      <c r="R36" s="1142" t="s">
        <v>87</v>
      </c>
      <c r="S36" s="1142"/>
      <c r="T36" s="1142"/>
      <c r="U36" s="1142"/>
      <c r="V36" s="1142"/>
      <c r="W36" s="1142"/>
    </row>
    <row r="40" spans="1:25">
      <c r="E40" s="186">
        <v>4252.4399999999996</v>
      </c>
      <c r="F40" s="186">
        <f>E40*55/100</f>
        <v>2338.8419999999996</v>
      </c>
      <c r="G40" s="186">
        <f>E40*23/100</f>
        <v>978.06119999999999</v>
      </c>
      <c r="H40" s="186">
        <f>E40-F40-G40</f>
        <v>935.53679999999997</v>
      </c>
      <c r="M40" s="186">
        <v>2672.65</v>
      </c>
      <c r="N40" s="186">
        <f>M40*55/100</f>
        <v>1469.9575</v>
      </c>
      <c r="O40" s="186">
        <f>M40*24/100</f>
        <v>641.43600000000004</v>
      </c>
      <c r="P40" s="186">
        <f>M40-N40-O40</f>
        <v>561.25650000000007</v>
      </c>
      <c r="R40" s="201">
        <v>9095.5400000000009</v>
      </c>
      <c r="S40" s="201">
        <v>3968.96</v>
      </c>
      <c r="T40" s="201">
        <v>3472.84</v>
      </c>
      <c r="U40" s="186">
        <f>SUM(R40:T40)</f>
        <v>16537.34</v>
      </c>
    </row>
    <row r="41" spans="1:25">
      <c r="E41" s="186">
        <f>5102.92</f>
        <v>5102.92</v>
      </c>
      <c r="F41" s="186">
        <f>E41*55/100</f>
        <v>2806.6059999999998</v>
      </c>
      <c r="G41" s="186">
        <f>E41*24/100</f>
        <v>1224.7008000000001</v>
      </c>
      <c r="H41" s="186">
        <f>E41-F41-G41</f>
        <v>1071.6132000000002</v>
      </c>
      <c r="M41" s="186">
        <v>3207.18</v>
      </c>
      <c r="N41" s="186">
        <f>M41*55/100</f>
        <v>1763.9489999999998</v>
      </c>
      <c r="O41" s="186">
        <f>M41*24/100</f>
        <v>769.72319999999991</v>
      </c>
      <c r="P41" s="186">
        <f>M41-N41-O41</f>
        <v>673.50780000000009</v>
      </c>
      <c r="R41" s="186">
        <f>15.12/16537.34*R40</f>
        <v>8.3160027428836809</v>
      </c>
      <c r="S41" s="186">
        <f t="shared" ref="S41:T41" si="10">15.12/16537.34*S40</f>
        <v>3.6287985371287035</v>
      </c>
      <c r="T41" s="186">
        <f t="shared" si="10"/>
        <v>3.1751987199876157</v>
      </c>
      <c r="U41" s="186">
        <f>SUM(R41:T41)</f>
        <v>15.120000000000001</v>
      </c>
      <c r="W41" s="186">
        <v>97.183162137367844</v>
      </c>
      <c r="X41" s="186">
        <v>102.81683786263216</v>
      </c>
      <c r="Y41" s="186">
        <f>SUM(W41:X41)</f>
        <v>200</v>
      </c>
    </row>
    <row r="42" spans="1:25">
      <c r="R42" s="186">
        <f>R41+R40</f>
        <v>9103.8560027428848</v>
      </c>
      <c r="S42" s="186">
        <f t="shared" ref="S42:T42" si="11">S41+S40</f>
        <v>3972.5887985371287</v>
      </c>
      <c r="T42" s="186">
        <f t="shared" si="11"/>
        <v>3476.0151987199879</v>
      </c>
      <c r="U42" s="186">
        <f>SUM(R42:T42)</f>
        <v>16552.46</v>
      </c>
    </row>
    <row r="44" spans="1:25">
      <c r="E44" s="186">
        <v>56</v>
      </c>
      <c r="F44" s="186">
        <v>23</v>
      </c>
      <c r="G44" s="186">
        <v>21</v>
      </c>
      <c r="H44" s="186">
        <f>E44+F44+G44</f>
        <v>100</v>
      </c>
      <c r="M44" s="201">
        <v>815.01</v>
      </c>
      <c r="N44" s="201">
        <v>355.64</v>
      </c>
      <c r="O44" s="201">
        <v>311.19</v>
      </c>
      <c r="P44" s="186">
        <f>SUM(M44:O44)</f>
        <v>1481.8400000000001</v>
      </c>
      <c r="R44" s="186">
        <v>6063.69</v>
      </c>
      <c r="S44" s="186">
        <v>2645.97</v>
      </c>
      <c r="T44" s="186">
        <v>2315.23</v>
      </c>
      <c r="U44" s="186">
        <f>SUM(R44:T44)</f>
        <v>11024.89</v>
      </c>
    </row>
    <row r="45" spans="1:25">
      <c r="E45" s="741">
        <f>1615.5/100*E44</f>
        <v>904.68000000000006</v>
      </c>
      <c r="F45" s="741">
        <f t="shared" ref="F45:G45" si="12">1615.5/100*F44</f>
        <v>371.56500000000005</v>
      </c>
      <c r="G45" s="741">
        <f t="shared" si="12"/>
        <v>339.255</v>
      </c>
      <c r="H45" s="186">
        <f>SUM(E45:G45)</f>
        <v>1615.5</v>
      </c>
      <c r="M45" s="186">
        <f>1.33/1481.84*M44</f>
        <v>0.73149820493440598</v>
      </c>
      <c r="N45" s="186">
        <f t="shared" ref="N45:O45" si="13">1.33/1481.84*N44</f>
        <v>0.31919856394752472</v>
      </c>
      <c r="O45" s="186">
        <f t="shared" si="13"/>
        <v>0.27930323111806948</v>
      </c>
      <c r="P45" s="186">
        <f t="shared" ref="P45:P46" si="14">SUM(M45:O45)</f>
        <v>1.33</v>
      </c>
      <c r="R45" s="186">
        <f>10.09/11024.89*R44</f>
        <v>5.5495004576009368</v>
      </c>
      <c r="S45" s="186">
        <f t="shared" ref="S45:T45" si="15">10.09/11024.89*S44</f>
        <v>2.4215967052732497</v>
      </c>
      <c r="T45" s="186">
        <f t="shared" si="15"/>
        <v>2.1189028371258125</v>
      </c>
      <c r="U45" s="186">
        <f t="shared" ref="U45:U46" si="16">SUM(R45:T45)</f>
        <v>10.09</v>
      </c>
    </row>
    <row r="46" spans="1:25">
      <c r="E46" s="741">
        <f>1709.15/100*E44</f>
        <v>957.12400000000002</v>
      </c>
      <c r="F46" s="741">
        <f t="shared" ref="F46:G46" si="17">1709.15/100*F44</f>
        <v>393.10449999999997</v>
      </c>
      <c r="G46" s="741">
        <f t="shared" si="17"/>
        <v>358.92149999999998</v>
      </c>
      <c r="H46" s="186">
        <f>SUM(E46:G46)</f>
        <v>1709.1499999999999</v>
      </c>
      <c r="M46" s="186">
        <f>M44+M45</f>
        <v>815.74149820493437</v>
      </c>
      <c r="N46" s="186">
        <f t="shared" ref="N46:O46" si="18">N44+N45</f>
        <v>355.9591985639475</v>
      </c>
      <c r="O46" s="186">
        <f t="shared" si="18"/>
        <v>311.46930323111809</v>
      </c>
      <c r="P46" s="186">
        <f t="shared" si="14"/>
        <v>1483.17</v>
      </c>
      <c r="R46" s="186">
        <f>R45+R44</f>
        <v>6069.2395004576001</v>
      </c>
      <c r="S46" s="186">
        <f t="shared" ref="S46:T46" si="19">S45+S44</f>
        <v>2648.3915967052731</v>
      </c>
      <c r="T46" s="186">
        <f t="shared" si="19"/>
        <v>2317.3489028371259</v>
      </c>
      <c r="U46" s="186">
        <f t="shared" si="16"/>
        <v>11034.98</v>
      </c>
    </row>
    <row r="49" spans="5:16">
      <c r="E49" s="186">
        <v>904.68</v>
      </c>
      <c r="F49" s="186">
        <v>371.56500000000005</v>
      </c>
      <c r="G49" s="186">
        <v>339.255</v>
      </c>
      <c r="H49" s="186">
        <f>SUM(E49:G49)</f>
        <v>1615.5</v>
      </c>
      <c r="M49" s="201">
        <v>597.29</v>
      </c>
      <c r="N49" s="201">
        <v>260.64</v>
      </c>
      <c r="O49" s="201">
        <v>228.05</v>
      </c>
      <c r="P49" s="186">
        <f>SUM(M49:O49)</f>
        <v>1085.98</v>
      </c>
    </row>
    <row r="50" spans="5:16">
      <c r="E50" s="186">
        <f>97.18/100*E44</f>
        <v>54.420800000000007</v>
      </c>
      <c r="F50" s="186">
        <f t="shared" ref="F50:G50" si="20">97.18/100*F44</f>
        <v>22.351400000000002</v>
      </c>
      <c r="G50" s="186">
        <f t="shared" si="20"/>
        <v>20.407800000000002</v>
      </c>
      <c r="M50" s="741">
        <f>0.99/1085.98*M49</f>
        <v>0.5445009116189985</v>
      </c>
      <c r="N50" s="741">
        <f t="shared" ref="N50:O50" si="21">0.99/1085.98*N49</f>
        <v>0.23760437577119281</v>
      </c>
      <c r="O50" s="741">
        <f t="shared" si="21"/>
        <v>0.20789471260980866</v>
      </c>
      <c r="P50" s="186">
        <f>SUM(M50:O50)</f>
        <v>0.98999999999999988</v>
      </c>
    </row>
    <row r="51" spans="5:16">
      <c r="E51" s="186">
        <f>E49+E50</f>
        <v>959.10079999999994</v>
      </c>
      <c r="F51" s="186">
        <f t="shared" ref="F51:G51" si="22">F49+F50</f>
        <v>393.91640000000007</v>
      </c>
      <c r="G51" s="186">
        <f t="shared" si="22"/>
        <v>359.6628</v>
      </c>
      <c r="H51" s="186">
        <f>SUM(E51:G51)</f>
        <v>1712.68</v>
      </c>
      <c r="M51" s="741">
        <f>M49+M50</f>
        <v>597.83450091161899</v>
      </c>
      <c r="N51" s="741">
        <f t="shared" ref="N51:O51" si="23">N49+N50</f>
        <v>260.87760437577117</v>
      </c>
      <c r="O51" s="741">
        <f t="shared" si="23"/>
        <v>228.25789471260981</v>
      </c>
      <c r="P51" s="186">
        <f>SUM(M51:O51)</f>
        <v>1086.97</v>
      </c>
    </row>
    <row r="52" spans="5:16">
      <c r="H52" s="186">
        <f>H49-H51</f>
        <v>-97.180000000000064</v>
      </c>
    </row>
    <row r="54" spans="5:16">
      <c r="E54" s="741">
        <f>102.82/100*E44</f>
        <v>57.5792</v>
      </c>
      <c r="F54" s="741">
        <f t="shared" ref="F54:G54" si="24">102.82/100*F44</f>
        <v>23.648600000000002</v>
      </c>
      <c r="G54" s="741">
        <f t="shared" si="24"/>
        <v>21.592199999999998</v>
      </c>
      <c r="H54" s="186">
        <f>SUM(E54:G54)</f>
        <v>102.82</v>
      </c>
    </row>
    <row r="55" spans="5:16">
      <c r="E55" s="186">
        <v>957.12400000000002</v>
      </c>
      <c r="F55" s="186">
        <v>393.10449999999997</v>
      </c>
      <c r="G55" s="186">
        <v>358.92149999999998</v>
      </c>
      <c r="H55" s="186">
        <f>SUM(E55:G55)</f>
        <v>1709.1499999999999</v>
      </c>
    </row>
    <row r="56" spans="5:16">
      <c r="E56" s="741">
        <f>E54+E55</f>
        <v>1014.7032</v>
      </c>
      <c r="F56" s="741">
        <f t="shared" ref="F56:G56" si="25">F54+F55</f>
        <v>416.75309999999996</v>
      </c>
      <c r="G56" s="741">
        <f t="shared" si="25"/>
        <v>380.51369999999997</v>
      </c>
      <c r="H56" s="741">
        <f>SUM(E56:G56)</f>
        <v>1811.97</v>
      </c>
    </row>
    <row r="57" spans="5:16">
      <c r="H57" s="741">
        <f>H55-H56</f>
        <v>-102.82000000000016</v>
      </c>
    </row>
    <row r="59" spans="5:16">
      <c r="H59" s="741"/>
    </row>
    <row r="64" spans="5:16">
      <c r="K64" s="1164" t="s">
        <v>1066</v>
      </c>
      <c r="L64" s="1164"/>
      <c r="M64" s="1164"/>
      <c r="N64" s="1164"/>
      <c r="O64" s="1164" t="s">
        <v>1005</v>
      </c>
      <c r="P64" s="1164"/>
    </row>
    <row r="65" spans="9:20">
      <c r="I65" s="186" t="s">
        <v>1063</v>
      </c>
      <c r="J65" s="186">
        <v>56</v>
      </c>
      <c r="K65" s="741">
        <f>19840.96*J65/100</f>
        <v>11110.937599999999</v>
      </c>
      <c r="L65" s="186">
        <f>13227.3*J65/100</f>
        <v>7407.2879999999996</v>
      </c>
      <c r="M65" s="186">
        <f>16212.76*J65/100</f>
        <v>9079.1455999999998</v>
      </c>
      <c r="N65" s="186">
        <f>10808.5*J65/100</f>
        <v>6052.76</v>
      </c>
      <c r="O65" s="186">
        <f>1748.44*J65/100</f>
        <v>979.12639999999999</v>
      </c>
      <c r="P65" s="186">
        <f>1432*J65/100</f>
        <v>801.92</v>
      </c>
      <c r="Q65" s="186">
        <f>1299.93*J65/100</f>
        <v>727.96080000000006</v>
      </c>
      <c r="R65" s="186">
        <f>1064.74*J65/100</f>
        <v>596.25440000000003</v>
      </c>
      <c r="S65" s="186">
        <f>618.01*J65/100</f>
        <v>346.0856</v>
      </c>
      <c r="T65" s="186">
        <f>505.16*J65/100</f>
        <v>282.88960000000003</v>
      </c>
    </row>
    <row r="66" spans="9:20">
      <c r="I66" s="186" t="s">
        <v>1064</v>
      </c>
      <c r="J66" s="186">
        <v>23</v>
      </c>
      <c r="K66" s="741">
        <f t="shared" ref="K66:K67" si="26">19840.96*J66/100</f>
        <v>4563.4207999999999</v>
      </c>
      <c r="L66" s="186">
        <f t="shared" ref="L66:L67" si="27">13227.3*J66/100</f>
        <v>3042.2789999999995</v>
      </c>
      <c r="M66" s="186">
        <f t="shared" ref="M66:M67" si="28">16212.76*J66/100</f>
        <v>3728.9348</v>
      </c>
      <c r="N66" s="186">
        <f>10808.5*J66/100</f>
        <v>2485.9549999999999</v>
      </c>
      <c r="O66" s="186">
        <f>1748.44*J66/100</f>
        <v>402.14120000000003</v>
      </c>
      <c r="P66" s="186">
        <f t="shared" ref="P66:P67" si="29">1432*J66/100</f>
        <v>329.36</v>
      </c>
      <c r="Q66" s="186">
        <f t="shared" ref="Q66:Q67" si="30">1299.93*J66/100</f>
        <v>298.98390000000001</v>
      </c>
      <c r="R66" s="186">
        <f t="shared" ref="R66:R67" si="31">1064.74*J66/100</f>
        <v>244.89019999999999</v>
      </c>
      <c r="S66" s="186">
        <f t="shared" ref="S66:S67" si="32">618.01*J66/100</f>
        <v>142.14230000000001</v>
      </c>
      <c r="T66" s="186">
        <f t="shared" ref="T66:T67" si="33">505.16*J66/100</f>
        <v>116.18680000000001</v>
      </c>
    </row>
    <row r="67" spans="9:20">
      <c r="I67" s="186" t="s">
        <v>1065</v>
      </c>
      <c r="J67" s="186">
        <v>21</v>
      </c>
      <c r="K67" s="741">
        <f t="shared" si="26"/>
        <v>4166.6016</v>
      </c>
      <c r="L67" s="186">
        <f t="shared" si="27"/>
        <v>2777.7329999999997</v>
      </c>
      <c r="M67" s="186">
        <f t="shared" si="28"/>
        <v>3404.6796000000004</v>
      </c>
      <c r="N67" s="186">
        <f>10808.5*J67/100</f>
        <v>2269.7849999999999</v>
      </c>
      <c r="O67" s="186">
        <f>1748.44*J67/100</f>
        <v>367.17239999999998</v>
      </c>
      <c r="P67" s="186">
        <f t="shared" si="29"/>
        <v>300.72000000000003</v>
      </c>
      <c r="Q67" s="186">
        <f t="shared" si="30"/>
        <v>272.98530000000005</v>
      </c>
      <c r="R67" s="186">
        <f t="shared" si="31"/>
        <v>223.59540000000001</v>
      </c>
      <c r="S67" s="186">
        <f t="shared" si="32"/>
        <v>129.78209999999999</v>
      </c>
      <c r="T67" s="186">
        <f t="shared" si="33"/>
        <v>106.0836</v>
      </c>
    </row>
    <row r="68" spans="9:20">
      <c r="K68" s="741">
        <f>SUM(K65:K67)</f>
        <v>19840.96</v>
      </c>
      <c r="L68" s="741">
        <f>SUM(L65:L67)</f>
        <v>13227.3</v>
      </c>
      <c r="M68" s="186">
        <f>M65+M66+M67</f>
        <v>16212.759999999998</v>
      </c>
      <c r="N68" s="186">
        <f>N65+N66+N67</f>
        <v>10808.5</v>
      </c>
      <c r="O68" s="186">
        <f t="shared" ref="O68:R68" si="34">O65+O66+O67</f>
        <v>1748.44</v>
      </c>
      <c r="P68" s="186">
        <f t="shared" si="34"/>
        <v>1432</v>
      </c>
      <c r="Q68" s="186">
        <f t="shared" si="34"/>
        <v>1299.93</v>
      </c>
      <c r="R68" s="186">
        <f t="shared" si="34"/>
        <v>1064.74</v>
      </c>
      <c r="S68" s="186">
        <f t="shared" ref="S68" si="35">S65+S66+S67</f>
        <v>618.01</v>
      </c>
      <c r="T68" s="186">
        <f t="shared" ref="T68" si="36">T65+T66+T67</f>
        <v>505.16</v>
      </c>
    </row>
  </sheetData>
  <mergeCells count="27">
    <mergeCell ref="K64:N64"/>
    <mergeCell ref="O64:P64"/>
    <mergeCell ref="A26:B26"/>
    <mergeCell ref="A20:B20"/>
    <mergeCell ref="A14:B14"/>
    <mergeCell ref="V9:W9"/>
    <mergeCell ref="A10:A11"/>
    <mergeCell ref="B10:B11"/>
    <mergeCell ref="C10:K10"/>
    <mergeCell ref="L10:T10"/>
    <mergeCell ref="U10:W11"/>
    <mergeCell ref="R11:T11"/>
    <mergeCell ref="O1:U1"/>
    <mergeCell ref="B4:U4"/>
    <mergeCell ref="B6:U6"/>
    <mergeCell ref="A8:B8"/>
    <mergeCell ref="C11:E11"/>
    <mergeCell ref="F11:H11"/>
    <mergeCell ref="I11:K11"/>
    <mergeCell ref="L11:N11"/>
    <mergeCell ref="O11:Q11"/>
    <mergeCell ref="R36:W36"/>
    <mergeCell ref="A31:I31"/>
    <mergeCell ref="O31:U31"/>
    <mergeCell ref="A34:U34"/>
    <mergeCell ref="R33:U33"/>
    <mergeCell ref="A35:U35"/>
  </mergeCells>
  <printOptions horizontalCentered="1"/>
  <pageMargins left="0.70866141732283472" right="0.70866141732283472" top="0.23622047244094491" bottom="0" header="0.31496062992125984" footer="0.31496062992125984"/>
  <pageSetup paperSize="9" scale="59" orientation="landscape" r:id="rId1"/>
  <colBreaks count="1" manualBreakCount="1">
    <brk id="23" max="104857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E38"/>
  <sheetViews>
    <sheetView view="pageBreakPreview" topLeftCell="M1" zoomScale="96" zoomScaleSheetLayoutView="96" workbookViewId="0">
      <selection activeCell="M10" sqref="M10:AE24"/>
    </sheetView>
  </sheetViews>
  <sheetFormatPr defaultRowHeight="12.75"/>
  <cols>
    <col min="1" max="1" width="7.42578125" style="177" customWidth="1"/>
    <col min="2" max="2" width="18" style="177" customWidth="1"/>
    <col min="3" max="3" width="11" style="177" customWidth="1"/>
    <col min="4" max="4" width="10" style="177" customWidth="1"/>
    <col min="5" max="5" width="11.85546875" style="177" customWidth="1"/>
    <col min="6" max="6" width="12.140625" style="177" customWidth="1"/>
    <col min="7" max="7" width="13.28515625" style="177" customWidth="1"/>
    <col min="8" max="8" width="14.5703125" style="177" customWidth="1"/>
    <col min="9" max="9" width="12.7109375" style="177" customWidth="1"/>
    <col min="10" max="10" width="14" style="177" customWidth="1"/>
    <col min="11" max="11" width="10.85546875" style="177" customWidth="1"/>
    <col min="12" max="12" width="11.5703125" style="177" customWidth="1"/>
    <col min="13" max="16" width="9.140625" style="177"/>
    <col min="17" max="18" width="9.140625" style="606"/>
    <col min="19" max="16384" width="9.140625" style="177"/>
  </cols>
  <sheetData>
    <row r="1" spans="1:31" s="92" customFormat="1">
      <c r="E1" s="1174"/>
      <c r="F1" s="1174"/>
      <c r="G1" s="1174"/>
      <c r="H1" s="1174"/>
      <c r="I1" s="1174"/>
      <c r="J1" s="342" t="s">
        <v>677</v>
      </c>
    </row>
    <row r="2" spans="1:31" s="92" customFormat="1" ht="15">
      <c r="A2" s="1175" t="s">
        <v>0</v>
      </c>
      <c r="B2" s="1175"/>
      <c r="C2" s="1175"/>
      <c r="D2" s="1175"/>
      <c r="E2" s="1175"/>
      <c r="F2" s="1175"/>
      <c r="G2" s="1175"/>
      <c r="H2" s="1175"/>
      <c r="I2" s="1175"/>
      <c r="J2" s="1175"/>
    </row>
    <row r="3" spans="1:31" s="92" customFormat="1" ht="20.25">
      <c r="A3" s="912" t="s">
        <v>705</v>
      </c>
      <c r="B3" s="912"/>
      <c r="C3" s="912"/>
      <c r="D3" s="912"/>
      <c r="E3" s="912"/>
      <c r="F3" s="912"/>
      <c r="G3" s="912"/>
      <c r="H3" s="912"/>
      <c r="I3" s="912"/>
      <c r="J3" s="912"/>
    </row>
    <row r="4" spans="1:31" s="92" customFormat="1" ht="14.25" customHeight="1"/>
    <row r="5" spans="1:31" ht="19.5" customHeight="1">
      <c r="A5" s="1176" t="s">
        <v>779</v>
      </c>
      <c r="B5" s="1176"/>
      <c r="C5" s="1176"/>
      <c r="D5" s="1176"/>
      <c r="E5" s="1176"/>
      <c r="F5" s="1176"/>
      <c r="G5" s="1176"/>
      <c r="H5" s="1176"/>
      <c r="I5" s="1176"/>
      <c r="J5" s="1176"/>
      <c r="K5" s="1176"/>
      <c r="L5" s="1176"/>
    </row>
    <row r="6" spans="1:31" ht="13.5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</row>
    <row r="7" spans="1:31" ht="0.75" customHeight="1"/>
    <row r="8" spans="1:31">
      <c r="A8" s="1142" t="s">
        <v>922</v>
      </c>
      <c r="B8" s="1142"/>
      <c r="C8" s="344"/>
      <c r="H8" s="1177" t="s">
        <v>782</v>
      </c>
      <c r="I8" s="1177"/>
      <c r="J8" s="1177"/>
      <c r="K8" s="1177"/>
      <c r="L8" s="1177"/>
    </row>
    <row r="9" spans="1:31" ht="18" customHeight="1">
      <c r="A9" s="1045" t="s">
        <v>2</v>
      </c>
      <c r="B9" s="1045" t="s">
        <v>40</v>
      </c>
      <c r="C9" s="1171" t="s">
        <v>678</v>
      </c>
      <c r="D9" s="1171"/>
      <c r="E9" s="1171" t="s">
        <v>130</v>
      </c>
      <c r="F9" s="1171"/>
      <c r="G9" s="1171" t="s">
        <v>679</v>
      </c>
      <c r="H9" s="1171"/>
      <c r="I9" s="1171" t="s">
        <v>131</v>
      </c>
      <c r="J9" s="1171"/>
      <c r="K9" s="1171" t="s">
        <v>132</v>
      </c>
      <c r="L9" s="1171"/>
      <c r="O9" s="345"/>
      <c r="P9" s="346"/>
      <c r="Q9" s="346"/>
      <c r="R9" s="346"/>
    </row>
    <row r="10" spans="1:31" ht="44.25" customHeight="1">
      <c r="A10" s="1045"/>
      <c r="B10" s="1045"/>
      <c r="C10" s="97" t="s">
        <v>680</v>
      </c>
      <c r="D10" s="97" t="s">
        <v>681</v>
      </c>
      <c r="E10" s="97" t="s">
        <v>682</v>
      </c>
      <c r="F10" s="97" t="s">
        <v>683</v>
      </c>
      <c r="G10" s="97" t="s">
        <v>682</v>
      </c>
      <c r="H10" s="97" t="s">
        <v>683</v>
      </c>
      <c r="I10" s="97" t="s">
        <v>680</v>
      </c>
      <c r="J10" s="97" t="s">
        <v>681</v>
      </c>
      <c r="K10" s="97" t="s">
        <v>680</v>
      </c>
      <c r="L10" s="97" t="s">
        <v>681</v>
      </c>
      <c r="U10" s="624"/>
      <c r="V10" s="624"/>
      <c r="W10" s="625"/>
      <c r="X10" s="626"/>
    </row>
    <row r="11" spans="1:31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  <c r="N11" s="606"/>
      <c r="O11" s="606"/>
      <c r="P11" s="606"/>
      <c r="S11" s="606"/>
      <c r="U11" s="470"/>
      <c r="V11" s="470"/>
      <c r="W11" s="470"/>
      <c r="X11" s="470"/>
      <c r="Z11" s="627"/>
      <c r="AA11" s="627"/>
      <c r="AB11" s="627"/>
      <c r="AC11" s="627"/>
      <c r="AD11" s="627"/>
      <c r="AE11" s="627"/>
    </row>
    <row r="12" spans="1:31" ht="15">
      <c r="A12" s="347">
        <v>1</v>
      </c>
      <c r="B12" s="424" t="s">
        <v>893</v>
      </c>
      <c r="C12" s="631">
        <v>756.8</v>
      </c>
      <c r="D12" s="628">
        <v>295.15199999999999</v>
      </c>
      <c r="E12" s="345">
        <v>381.70300000000003</v>
      </c>
      <c r="F12" s="628">
        <v>121.89777599999999</v>
      </c>
      <c r="G12" s="345">
        <v>28.752000000000002</v>
      </c>
      <c r="H12" s="345">
        <f>G12</f>
        <v>28.752000000000002</v>
      </c>
      <c r="I12" s="628">
        <v>5.6760000000000002</v>
      </c>
      <c r="J12" s="628">
        <v>5.6760000000000002</v>
      </c>
      <c r="K12" s="628">
        <v>4.8860000000000001</v>
      </c>
      <c r="L12" s="628">
        <f>K12</f>
        <v>4.8860000000000001</v>
      </c>
      <c r="P12" s="627"/>
      <c r="Q12" s="627"/>
      <c r="R12" s="627"/>
      <c r="S12" s="627"/>
      <c r="T12" s="627"/>
      <c r="U12" s="470"/>
      <c r="V12" s="470"/>
      <c r="W12" s="470"/>
      <c r="X12" s="470"/>
      <c r="Z12" s="627"/>
      <c r="AA12" s="627"/>
      <c r="AB12" s="627"/>
      <c r="AC12" s="627"/>
      <c r="AD12" s="627"/>
      <c r="AE12" s="627"/>
    </row>
    <row r="13" spans="1:31" ht="15">
      <c r="A13" s="347">
        <v>2</v>
      </c>
      <c r="B13" s="424" t="s">
        <v>895</v>
      </c>
      <c r="C13" s="631">
        <v>255.6</v>
      </c>
      <c r="D13" s="628">
        <v>104.79600000000001</v>
      </c>
      <c r="E13" s="345">
        <v>129.26900000000001</v>
      </c>
      <c r="F13" s="628">
        <v>43.280747999999996</v>
      </c>
      <c r="G13" s="345">
        <v>8.0280000000000005</v>
      </c>
      <c r="H13" s="345">
        <f t="shared" ref="H13:H24" si="0">G13</f>
        <v>8.0280000000000005</v>
      </c>
      <c r="I13" s="628">
        <v>1.917</v>
      </c>
      <c r="J13" s="628">
        <v>1.917</v>
      </c>
      <c r="K13" s="628">
        <v>1.5680000000000001</v>
      </c>
      <c r="L13" s="628">
        <f t="shared" ref="L13:L24" si="1">K13</f>
        <v>1.5680000000000001</v>
      </c>
      <c r="N13" s="606"/>
      <c r="O13" s="606"/>
      <c r="P13" s="627"/>
      <c r="Q13" s="627"/>
      <c r="R13" s="627"/>
      <c r="S13" s="627"/>
      <c r="T13" s="627"/>
      <c r="U13" s="470"/>
      <c r="V13" s="470"/>
      <c r="W13" s="470"/>
      <c r="X13" s="470"/>
      <c r="Z13" s="627"/>
      <c r="AA13" s="627"/>
      <c r="AB13" s="627"/>
      <c r="AC13" s="627"/>
      <c r="AD13" s="627"/>
      <c r="AE13" s="627"/>
    </row>
    <row r="14" spans="1:31" ht="15">
      <c r="A14" s="347">
        <v>3</v>
      </c>
      <c r="B14" s="424" t="s">
        <v>896</v>
      </c>
      <c r="C14" s="631">
        <v>37.6</v>
      </c>
      <c r="D14" s="628">
        <v>15.04</v>
      </c>
      <c r="E14" s="345">
        <v>19.628</v>
      </c>
      <c r="F14" s="628">
        <v>6.2115200000000002</v>
      </c>
      <c r="G14" s="345">
        <v>1.6619999999999999</v>
      </c>
      <c r="H14" s="345">
        <f t="shared" si="0"/>
        <v>1.6619999999999999</v>
      </c>
      <c r="I14" s="628">
        <v>0.28199999999999997</v>
      </c>
      <c r="J14" s="628">
        <v>0.28199999999999997</v>
      </c>
      <c r="K14" s="628">
        <v>0.31499999999999995</v>
      </c>
      <c r="L14" s="628">
        <f t="shared" si="1"/>
        <v>0.31499999999999995</v>
      </c>
      <c r="N14" s="606"/>
      <c r="O14" s="606"/>
      <c r="P14" s="627"/>
      <c r="Q14" s="627"/>
      <c r="R14" s="627"/>
      <c r="S14" s="627"/>
      <c r="T14" s="627"/>
      <c r="U14" s="470"/>
      <c r="V14" s="470"/>
      <c r="W14" s="470"/>
      <c r="X14" s="470"/>
      <c r="Z14" s="627"/>
      <c r="AA14" s="627"/>
      <c r="AB14" s="627"/>
      <c r="AC14" s="627"/>
      <c r="AD14" s="627"/>
      <c r="AE14" s="627"/>
    </row>
    <row r="15" spans="1:31" ht="15">
      <c r="A15" s="347">
        <v>4</v>
      </c>
      <c r="B15" s="424" t="s">
        <v>899</v>
      </c>
      <c r="C15" s="631">
        <v>82</v>
      </c>
      <c r="D15" s="628">
        <v>28.699999999999992</v>
      </c>
      <c r="E15" s="345">
        <v>41.488999999999997</v>
      </c>
      <c r="F15" s="628">
        <v>11.853099999999998</v>
      </c>
      <c r="G15" s="345">
        <v>3.2579999999999996</v>
      </c>
      <c r="H15" s="345">
        <f t="shared" si="0"/>
        <v>3.2579999999999996</v>
      </c>
      <c r="I15" s="628">
        <v>0.61499999999999999</v>
      </c>
      <c r="J15" s="628">
        <v>0.61499999999999999</v>
      </c>
      <c r="K15" s="628">
        <v>0.61599999999999999</v>
      </c>
      <c r="L15" s="628">
        <f t="shared" si="1"/>
        <v>0.61599999999999999</v>
      </c>
      <c r="N15" s="606"/>
      <c r="O15" s="606"/>
      <c r="P15" s="627"/>
      <c r="Q15" s="627"/>
      <c r="R15" s="627"/>
      <c r="S15" s="627"/>
      <c r="T15" s="627"/>
      <c r="U15" s="470"/>
      <c r="V15" s="470"/>
      <c r="W15" s="470"/>
      <c r="X15" s="470"/>
      <c r="Z15" s="627"/>
      <c r="AA15" s="627"/>
      <c r="AB15" s="627"/>
      <c r="AC15" s="627"/>
      <c r="AD15" s="627"/>
      <c r="AE15" s="627"/>
    </row>
    <row r="16" spans="1:31" ht="15">
      <c r="A16" s="347">
        <v>5</v>
      </c>
      <c r="B16" s="424" t="s">
        <v>902</v>
      </c>
      <c r="C16" s="631">
        <v>42.4</v>
      </c>
      <c r="D16" s="628">
        <v>16.111999999999998</v>
      </c>
      <c r="E16" s="345">
        <v>21.440999999999999</v>
      </c>
      <c r="F16" s="628">
        <v>6.6542560000000002</v>
      </c>
      <c r="G16" s="345">
        <v>6.4920000000000009</v>
      </c>
      <c r="H16" s="345">
        <f t="shared" si="0"/>
        <v>6.4920000000000009</v>
      </c>
      <c r="I16" s="628">
        <v>0.318</v>
      </c>
      <c r="J16" s="628">
        <v>0.318</v>
      </c>
      <c r="K16" s="628">
        <v>0.28000000000000003</v>
      </c>
      <c r="L16" s="628">
        <f t="shared" si="1"/>
        <v>0.28000000000000003</v>
      </c>
      <c r="N16" s="606"/>
      <c r="O16" s="606"/>
      <c r="P16" s="627"/>
      <c r="Q16" s="627"/>
      <c r="R16" s="627"/>
      <c r="S16" s="627"/>
      <c r="T16" s="627"/>
      <c r="U16" s="470"/>
      <c r="V16" s="470"/>
      <c r="W16" s="470"/>
      <c r="X16" s="470"/>
      <c r="Z16" s="627"/>
      <c r="AA16" s="627"/>
      <c r="AB16" s="627"/>
      <c r="AC16" s="627"/>
      <c r="AD16" s="627"/>
      <c r="AE16" s="627"/>
    </row>
    <row r="17" spans="1:31" ht="15">
      <c r="A17" s="347">
        <v>6</v>
      </c>
      <c r="B17" s="424" t="s">
        <v>903</v>
      </c>
      <c r="C17" s="631">
        <v>10</v>
      </c>
      <c r="D17" s="628">
        <v>3.5</v>
      </c>
      <c r="E17" s="345">
        <v>6.37</v>
      </c>
      <c r="F17" s="628">
        <v>1.4455</v>
      </c>
      <c r="G17" s="345">
        <v>0.70800000000000007</v>
      </c>
      <c r="H17" s="345">
        <f t="shared" si="0"/>
        <v>0.70800000000000007</v>
      </c>
      <c r="I17" s="628">
        <v>7.4999999999999997E-2</v>
      </c>
      <c r="J17" s="628">
        <v>7.4999999999999997E-2</v>
      </c>
      <c r="K17" s="628">
        <v>0.13300000000000001</v>
      </c>
      <c r="L17" s="628">
        <f t="shared" si="1"/>
        <v>0.13300000000000001</v>
      </c>
      <c r="N17" s="606"/>
      <c r="O17" s="606"/>
      <c r="P17" s="627"/>
      <c r="Q17" s="627"/>
      <c r="R17" s="627"/>
      <c r="S17" s="627"/>
      <c r="T17" s="627"/>
      <c r="U17" s="470"/>
      <c r="V17" s="470"/>
      <c r="W17" s="470"/>
      <c r="X17" s="470"/>
      <c r="Z17" s="627"/>
      <c r="AA17" s="627"/>
      <c r="AB17" s="627"/>
      <c r="AC17" s="627"/>
      <c r="AD17" s="627"/>
      <c r="AE17" s="627"/>
    </row>
    <row r="18" spans="1:31" ht="15">
      <c r="A18" s="347">
        <v>7</v>
      </c>
      <c r="B18" s="424" t="s">
        <v>904</v>
      </c>
      <c r="C18" s="631">
        <v>57.2</v>
      </c>
      <c r="D18" s="628">
        <v>25.74</v>
      </c>
      <c r="E18" s="345">
        <v>28.930999999999997</v>
      </c>
      <c r="F18" s="628">
        <v>10.63062</v>
      </c>
      <c r="G18" s="345">
        <v>3.2460000000000004</v>
      </c>
      <c r="H18" s="345">
        <f t="shared" si="0"/>
        <v>3.2460000000000004</v>
      </c>
      <c r="I18" s="628">
        <v>0.42899999999999999</v>
      </c>
      <c r="J18" s="628">
        <v>0.42899999999999999</v>
      </c>
      <c r="K18" s="628">
        <v>0.45500000000000002</v>
      </c>
      <c r="L18" s="628">
        <f t="shared" si="1"/>
        <v>0.45500000000000002</v>
      </c>
      <c r="N18" s="606"/>
      <c r="O18" s="606"/>
      <c r="P18" s="627"/>
      <c r="Q18" s="627"/>
      <c r="R18" s="627"/>
      <c r="S18" s="627"/>
      <c r="T18" s="627"/>
      <c r="U18" s="470"/>
      <c r="V18" s="470"/>
      <c r="W18" s="470"/>
      <c r="X18" s="470"/>
      <c r="Z18" s="627"/>
      <c r="AA18" s="627"/>
      <c r="AB18" s="627"/>
      <c r="AC18" s="627"/>
      <c r="AD18" s="627"/>
      <c r="AE18" s="627"/>
    </row>
    <row r="19" spans="1:31" ht="15">
      <c r="A19" s="347">
        <v>8</v>
      </c>
      <c r="B19" s="424" t="s">
        <v>905</v>
      </c>
      <c r="C19" s="631">
        <v>132.4</v>
      </c>
      <c r="D19" s="628">
        <v>55.607999999999997</v>
      </c>
      <c r="E19" s="345">
        <v>66.962000000000003</v>
      </c>
      <c r="F19" s="628">
        <v>22.966103999999998</v>
      </c>
      <c r="G19" s="345">
        <v>8.1600000000000019</v>
      </c>
      <c r="H19" s="345">
        <f t="shared" si="0"/>
        <v>8.1600000000000019</v>
      </c>
      <c r="I19" s="628">
        <v>0.99299999999999999</v>
      </c>
      <c r="J19" s="628">
        <v>0.99299999999999999</v>
      </c>
      <c r="K19" s="628">
        <v>0.875</v>
      </c>
      <c r="L19" s="628">
        <f t="shared" si="1"/>
        <v>0.875</v>
      </c>
      <c r="N19" s="606"/>
      <c r="O19" s="606"/>
      <c r="P19" s="627"/>
      <c r="Q19" s="627"/>
      <c r="R19" s="627"/>
      <c r="S19" s="627"/>
      <c r="T19" s="627"/>
      <c r="U19" s="470"/>
      <c r="V19" s="470"/>
      <c r="W19" s="470"/>
      <c r="X19" s="470"/>
      <c r="Z19" s="627"/>
      <c r="AA19" s="627"/>
      <c r="AB19" s="627"/>
      <c r="AC19" s="627"/>
      <c r="AD19" s="627"/>
      <c r="AE19" s="627"/>
    </row>
    <row r="20" spans="1:31" ht="15">
      <c r="A20" s="347">
        <v>9</v>
      </c>
      <c r="B20" s="424" t="s">
        <v>906</v>
      </c>
      <c r="C20" s="631">
        <v>270.8</v>
      </c>
      <c r="D20" s="628">
        <v>111.02800000000001</v>
      </c>
      <c r="E20" s="345">
        <v>136.95499999999998</v>
      </c>
      <c r="F20" s="628">
        <v>45.854563999999996</v>
      </c>
      <c r="G20" s="345">
        <v>19.073999999999998</v>
      </c>
      <c r="H20" s="345">
        <f t="shared" si="0"/>
        <v>19.073999999999998</v>
      </c>
      <c r="I20" s="628">
        <v>2.0310000000000001</v>
      </c>
      <c r="J20" s="628">
        <v>2.0310000000000001</v>
      </c>
      <c r="K20" s="628">
        <v>1.659</v>
      </c>
      <c r="L20" s="628">
        <f t="shared" si="1"/>
        <v>1.659</v>
      </c>
      <c r="N20" s="606"/>
      <c r="O20" s="606"/>
      <c r="P20" s="627"/>
      <c r="Q20" s="627"/>
      <c r="R20" s="627"/>
      <c r="S20" s="627"/>
      <c r="T20" s="627"/>
      <c r="U20" s="470"/>
      <c r="V20" s="470"/>
      <c r="W20" s="470"/>
      <c r="X20" s="470"/>
      <c r="Z20" s="627"/>
      <c r="AA20" s="627"/>
      <c r="AB20" s="627"/>
      <c r="AC20" s="627"/>
      <c r="AD20" s="627"/>
      <c r="AE20" s="627"/>
    </row>
    <row r="21" spans="1:31" ht="15">
      <c r="A21" s="347">
        <v>10</v>
      </c>
      <c r="B21" s="424" t="s">
        <v>909</v>
      </c>
      <c r="C21" s="631">
        <v>52.8</v>
      </c>
      <c r="D21" s="628">
        <v>25.344000000000001</v>
      </c>
      <c r="E21" s="345">
        <v>26.704999999999998</v>
      </c>
      <c r="F21" s="628">
        <v>10.467072</v>
      </c>
      <c r="G21" s="345">
        <v>5.1479999999999997</v>
      </c>
      <c r="H21" s="345">
        <f t="shared" si="0"/>
        <v>5.1479999999999997</v>
      </c>
      <c r="I21" s="628">
        <v>0.39600000000000002</v>
      </c>
      <c r="J21" s="628">
        <v>0.39600000000000002</v>
      </c>
      <c r="K21" s="628">
        <v>0.37800000000000006</v>
      </c>
      <c r="L21" s="628">
        <f t="shared" si="1"/>
        <v>0.37800000000000006</v>
      </c>
      <c r="N21" s="606"/>
      <c r="O21" s="606"/>
      <c r="P21" s="627"/>
      <c r="Q21" s="627"/>
      <c r="R21" s="627"/>
      <c r="S21" s="627"/>
      <c r="T21" s="627"/>
      <c r="U21" s="470"/>
      <c r="V21" s="470"/>
      <c r="W21" s="470"/>
      <c r="X21" s="470"/>
      <c r="Z21" s="627"/>
      <c r="AA21" s="627"/>
      <c r="AB21" s="627"/>
      <c r="AC21" s="627"/>
      <c r="AD21" s="627"/>
      <c r="AE21" s="627"/>
    </row>
    <row r="22" spans="1:31" ht="15">
      <c r="A22" s="347">
        <v>11</v>
      </c>
      <c r="B22" s="424" t="s">
        <v>910</v>
      </c>
      <c r="C22" s="631">
        <v>150.4</v>
      </c>
      <c r="D22" s="628">
        <v>58.655999999999999</v>
      </c>
      <c r="E22" s="345">
        <v>75.214999999999989</v>
      </c>
      <c r="F22" s="628">
        <v>24.224927999999998</v>
      </c>
      <c r="G22" s="345">
        <v>5.94</v>
      </c>
      <c r="H22" s="345">
        <f t="shared" si="0"/>
        <v>5.94</v>
      </c>
      <c r="I22" s="628">
        <v>1.1279999999999999</v>
      </c>
      <c r="J22" s="628">
        <v>1.1279999999999999</v>
      </c>
      <c r="K22" s="628">
        <v>1.0010000000000001</v>
      </c>
      <c r="L22" s="628">
        <f t="shared" si="1"/>
        <v>1.0010000000000001</v>
      </c>
      <c r="N22" s="606"/>
      <c r="O22" s="606"/>
      <c r="P22" s="627"/>
      <c r="Q22" s="627"/>
      <c r="R22" s="627"/>
      <c r="S22" s="627"/>
      <c r="T22" s="627"/>
      <c r="U22" s="470"/>
      <c r="V22" s="470"/>
      <c r="W22" s="470"/>
      <c r="X22" s="470"/>
      <c r="Z22" s="627"/>
      <c r="AA22" s="627"/>
      <c r="AB22" s="627"/>
      <c r="AC22" s="627"/>
      <c r="AD22" s="627"/>
      <c r="AE22" s="627"/>
    </row>
    <row r="23" spans="1:31" ht="15">
      <c r="A23" s="347">
        <v>12</v>
      </c>
      <c r="B23" s="424" t="s">
        <v>913</v>
      </c>
      <c r="C23" s="631">
        <v>18.399999999999999</v>
      </c>
      <c r="D23" s="628">
        <v>6.44</v>
      </c>
      <c r="E23" s="345">
        <v>11.157999999999999</v>
      </c>
      <c r="F23" s="628">
        <v>2.6597200000000001</v>
      </c>
      <c r="G23" s="345">
        <v>0.70200000000000007</v>
      </c>
      <c r="H23" s="345">
        <f t="shared" si="0"/>
        <v>0.70200000000000007</v>
      </c>
      <c r="I23" s="628">
        <v>0.13799999999999998</v>
      </c>
      <c r="J23" s="628">
        <v>0.13799999999999998</v>
      </c>
      <c r="K23" s="628">
        <v>0.18900000000000003</v>
      </c>
      <c r="L23" s="628">
        <f t="shared" si="1"/>
        <v>0.18900000000000003</v>
      </c>
      <c r="N23" s="606"/>
      <c r="O23" s="606"/>
      <c r="P23" s="627"/>
      <c r="Q23" s="627"/>
      <c r="R23" s="627"/>
      <c r="S23" s="627"/>
      <c r="T23" s="627"/>
      <c r="U23" s="470"/>
      <c r="V23" s="470"/>
      <c r="W23" s="470"/>
      <c r="X23" s="470"/>
      <c r="Z23" s="627"/>
      <c r="AA23" s="627"/>
      <c r="AB23" s="627"/>
      <c r="AC23" s="627"/>
      <c r="AD23" s="627"/>
      <c r="AE23" s="627"/>
    </row>
    <row r="24" spans="1:31" ht="15">
      <c r="A24" s="347">
        <v>13</v>
      </c>
      <c r="B24" s="424" t="s">
        <v>917</v>
      </c>
      <c r="C24" s="631">
        <v>216.8</v>
      </c>
      <c r="D24" s="628">
        <v>99.727999999999994</v>
      </c>
      <c r="E24" s="345">
        <v>107.758</v>
      </c>
      <c r="F24" s="628">
        <v>41.187663999999998</v>
      </c>
      <c r="G24" s="345">
        <v>6.72</v>
      </c>
      <c r="H24" s="345">
        <f t="shared" si="0"/>
        <v>6.72</v>
      </c>
      <c r="I24" s="628">
        <v>1.6259999999999999</v>
      </c>
      <c r="J24" s="628">
        <v>1.6259999999999999</v>
      </c>
      <c r="K24" s="628">
        <v>1.3579999999999999</v>
      </c>
      <c r="L24" s="628">
        <f t="shared" si="1"/>
        <v>1.3579999999999999</v>
      </c>
      <c r="N24" s="606"/>
      <c r="O24" s="606"/>
      <c r="P24" s="627"/>
      <c r="Q24" s="627"/>
      <c r="R24" s="627"/>
      <c r="S24" s="627"/>
      <c r="T24" s="627"/>
      <c r="U24" s="627"/>
      <c r="V24" s="627"/>
      <c r="W24" s="627"/>
      <c r="X24" s="627"/>
    </row>
    <row r="25" spans="1:31">
      <c r="A25" s="96" t="s">
        <v>19</v>
      </c>
      <c r="B25" s="348"/>
      <c r="C25" s="96">
        <f>SUM(C12:C24)</f>
        <v>2083.2000000000003</v>
      </c>
      <c r="D25" s="96">
        <f t="shared" ref="D25:H25" si="2">SUM(D12:D24)</f>
        <v>845.84400000000005</v>
      </c>
      <c r="E25" s="96">
        <f t="shared" si="2"/>
        <v>1053.5840000000001</v>
      </c>
      <c r="F25" s="96">
        <f t="shared" si="2"/>
        <v>349.33357199999989</v>
      </c>
      <c r="G25" s="96">
        <f t="shared" si="2"/>
        <v>97.89</v>
      </c>
      <c r="H25" s="96">
        <f t="shared" si="2"/>
        <v>97.89</v>
      </c>
      <c r="I25" s="96">
        <f t="shared" ref="I25" si="3">SUM(I12:I24)</f>
        <v>15.624000000000001</v>
      </c>
      <c r="J25" s="96">
        <f t="shared" ref="J25" si="4">SUM(J12:J24)</f>
        <v>15.624000000000001</v>
      </c>
      <c r="K25" s="96">
        <f t="shared" ref="K25" si="5">SUM(K12:K24)</f>
        <v>13.713000000000001</v>
      </c>
      <c r="L25" s="96">
        <f t="shared" ref="L25" si="6">SUM(L12:L24)</f>
        <v>13.713000000000001</v>
      </c>
      <c r="P25" s="627">
        <f>SUM(P12:P24)</f>
        <v>0</v>
      </c>
      <c r="Q25" s="627"/>
      <c r="R25" s="627"/>
      <c r="T25" s="627"/>
    </row>
    <row r="26" spans="1:31">
      <c r="A26" s="102"/>
      <c r="B26" s="129"/>
      <c r="C26" s="129"/>
      <c r="D26" s="346"/>
      <c r="E26" s="346"/>
      <c r="F26" s="346"/>
      <c r="G26" s="346"/>
      <c r="H26" s="346"/>
      <c r="I26" s="346"/>
      <c r="J26" s="346"/>
    </row>
    <row r="27" spans="1:31">
      <c r="A27" s="102"/>
      <c r="B27" s="129"/>
      <c r="C27" s="129"/>
      <c r="D27" s="346"/>
      <c r="E27" s="346"/>
      <c r="F27" s="346"/>
      <c r="G27" s="346"/>
      <c r="H27" s="346"/>
      <c r="I27" s="346"/>
      <c r="J27" s="346"/>
    </row>
    <row r="28" spans="1:31">
      <c r="A28" s="102"/>
      <c r="B28" s="129"/>
      <c r="C28" s="129"/>
      <c r="D28" s="346"/>
      <c r="E28" s="346"/>
      <c r="F28" s="346"/>
      <c r="G28" s="346"/>
      <c r="H28" s="346"/>
      <c r="I28" s="346"/>
      <c r="J28" s="346"/>
    </row>
    <row r="29" spans="1:31" ht="15.75" customHeight="1">
      <c r="A29" s="105" t="s">
        <v>12</v>
      </c>
      <c r="B29" s="105"/>
      <c r="C29" s="105"/>
      <c r="D29" s="105"/>
      <c r="E29" s="105"/>
      <c r="F29" s="105"/>
      <c r="G29" s="105"/>
      <c r="I29" s="1170" t="s">
        <v>13</v>
      </c>
      <c r="J29" s="1170"/>
    </row>
    <row r="30" spans="1:31" ht="12.75" customHeight="1">
      <c r="A30" s="1172" t="s">
        <v>685</v>
      </c>
      <c r="B30" s="1172"/>
      <c r="C30" s="1172"/>
      <c r="D30" s="1172"/>
      <c r="E30" s="1172"/>
      <c r="F30" s="1172"/>
      <c r="G30" s="1172"/>
      <c r="H30" s="1172"/>
      <c r="I30" s="1172"/>
      <c r="J30" s="1172"/>
    </row>
    <row r="31" spans="1:31" ht="12.75" customHeight="1">
      <c r="A31" s="349"/>
      <c r="B31" s="349"/>
      <c r="C31" s="349"/>
      <c r="D31" s="349"/>
      <c r="E31" s="349"/>
      <c r="F31" s="349"/>
      <c r="G31" s="349"/>
      <c r="H31" s="1170" t="s">
        <v>20</v>
      </c>
      <c r="I31" s="1170"/>
      <c r="J31" s="1170"/>
      <c r="K31" s="1170"/>
    </row>
    <row r="32" spans="1:31">
      <c r="A32" s="105"/>
      <c r="B32" s="105"/>
      <c r="C32" s="105"/>
      <c r="E32" s="105"/>
      <c r="H32" s="1173" t="s">
        <v>87</v>
      </c>
      <c r="I32" s="1173"/>
      <c r="J32" s="1173"/>
    </row>
    <row r="36" spans="1:10">
      <c r="A36" s="1169"/>
      <c r="B36" s="1169"/>
      <c r="C36" s="1169"/>
      <c r="D36" s="1169"/>
      <c r="E36" s="1169"/>
      <c r="F36" s="1169"/>
      <c r="G36" s="1169"/>
      <c r="H36" s="1169"/>
      <c r="I36" s="1169"/>
      <c r="J36" s="1169"/>
    </row>
    <row r="38" spans="1:10">
      <c r="A38" s="1169"/>
      <c r="B38" s="1169"/>
      <c r="C38" s="1169"/>
      <c r="D38" s="1169"/>
      <c r="E38" s="1169"/>
      <c r="F38" s="1169"/>
      <c r="G38" s="1169"/>
      <c r="H38" s="1169"/>
      <c r="I38" s="1169"/>
      <c r="J38" s="1169"/>
    </row>
  </sheetData>
  <mergeCells count="19">
    <mergeCell ref="E1:I1"/>
    <mergeCell ref="A2:J2"/>
    <mergeCell ref="A3:J3"/>
    <mergeCell ref="A8:B8"/>
    <mergeCell ref="A5:L5"/>
    <mergeCell ref="H8:L8"/>
    <mergeCell ref="A38:J38"/>
    <mergeCell ref="H31:K31"/>
    <mergeCell ref="A9:A10"/>
    <mergeCell ref="B9:B10"/>
    <mergeCell ref="C9:D9"/>
    <mergeCell ref="E9:F9"/>
    <mergeCell ref="G9:H9"/>
    <mergeCell ref="I9:J9"/>
    <mergeCell ref="K9:L9"/>
    <mergeCell ref="I29:J29"/>
    <mergeCell ref="A30:J30"/>
    <mergeCell ref="H32:J32"/>
    <mergeCell ref="A36:J36"/>
  </mergeCells>
  <printOptions horizontalCentered="1"/>
  <pageMargins left="0.70866141732283472" right="0.70866141732283472" top="0.23622047244094491" bottom="0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51"/>
  <sheetViews>
    <sheetView view="pageBreakPreview" topLeftCell="B34" zoomScaleNormal="90" zoomScaleSheetLayoutView="100" workbookViewId="0">
      <selection activeCell="D47" sqref="D47"/>
    </sheetView>
  </sheetViews>
  <sheetFormatPr defaultRowHeight="12.75"/>
  <cols>
    <col min="1" max="1" width="8.28515625" customWidth="1"/>
    <col min="2" max="2" width="15.5703125" customWidth="1"/>
    <col min="3" max="3" width="17.2851562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22.7109375" customWidth="1"/>
  </cols>
  <sheetData>
    <row r="1" spans="1:16" ht="18">
      <c r="A1" s="919" t="s">
        <v>0</v>
      </c>
      <c r="B1" s="919"/>
      <c r="C1" s="919"/>
      <c r="D1" s="919"/>
      <c r="E1" s="919"/>
      <c r="F1" s="919"/>
      <c r="G1" s="919"/>
      <c r="H1" s="215" t="s">
        <v>257</v>
      </c>
    </row>
    <row r="2" spans="1:16" ht="21">
      <c r="A2" s="920" t="s">
        <v>705</v>
      </c>
      <c r="B2" s="920"/>
      <c r="C2" s="920"/>
      <c r="D2" s="920"/>
      <c r="E2" s="920"/>
      <c r="F2" s="920"/>
      <c r="G2" s="920"/>
      <c r="H2" s="920"/>
    </row>
    <row r="3" spans="1:16" ht="15">
      <c r="A3" s="217"/>
      <c r="B3" s="217"/>
    </row>
    <row r="4" spans="1:16" ht="18" customHeight="1">
      <c r="A4" s="921" t="s">
        <v>746</v>
      </c>
      <c r="B4" s="921"/>
      <c r="C4" s="921"/>
      <c r="D4" s="921"/>
      <c r="E4" s="921"/>
      <c r="F4" s="921"/>
      <c r="G4" s="921"/>
      <c r="H4" s="921"/>
    </row>
    <row r="5" spans="1:16" ht="15">
      <c r="A5" s="218" t="s">
        <v>922</v>
      </c>
      <c r="B5" s="218"/>
    </row>
    <row r="6" spans="1:16" ht="15">
      <c r="A6" s="218"/>
      <c r="B6" s="218"/>
      <c r="G6" s="922" t="s">
        <v>784</v>
      </c>
      <c r="H6" s="922"/>
    </row>
    <row r="7" spans="1:16" ht="59.25" customHeight="1">
      <c r="A7" s="360" t="s">
        <v>2</v>
      </c>
      <c r="B7" s="360" t="s">
        <v>3</v>
      </c>
      <c r="C7" s="220" t="s">
        <v>258</v>
      </c>
      <c r="D7" s="220" t="s">
        <v>259</v>
      </c>
      <c r="E7" s="220" t="s">
        <v>260</v>
      </c>
      <c r="F7" s="220" t="s">
        <v>261</v>
      </c>
      <c r="G7" s="220" t="s">
        <v>262</v>
      </c>
      <c r="H7" s="220" t="s">
        <v>263</v>
      </c>
    </row>
    <row r="8" spans="1:16" s="215" customFormat="1" ht="15">
      <c r="A8" s="221" t="s">
        <v>264</v>
      </c>
      <c r="B8" s="221" t="s">
        <v>265</v>
      </c>
      <c r="C8" s="221" t="s">
        <v>266</v>
      </c>
      <c r="D8" s="221" t="s">
        <v>267</v>
      </c>
      <c r="E8" s="221" t="s">
        <v>268</v>
      </c>
      <c r="F8" s="221" t="s">
        <v>269</v>
      </c>
      <c r="G8" s="221" t="s">
        <v>270</v>
      </c>
      <c r="H8" s="221" t="s">
        <v>271</v>
      </c>
    </row>
    <row r="9" spans="1:16" ht="15">
      <c r="A9" s="8">
        <v>1</v>
      </c>
      <c r="B9" s="385" t="s">
        <v>889</v>
      </c>
      <c r="C9" s="386">
        <v>726</v>
      </c>
      <c r="D9" s="386">
        <v>8</v>
      </c>
      <c r="E9" s="386">
        <v>1157</v>
      </c>
      <c r="F9" s="386">
        <f>SUM(C9:E9)</f>
        <v>1891</v>
      </c>
      <c r="G9" s="386">
        <v>1891</v>
      </c>
      <c r="H9" s="387"/>
      <c r="J9" s="455">
        <f>C9</f>
        <v>726</v>
      </c>
      <c r="K9" s="455">
        <f>D9+E9</f>
        <v>1165</v>
      </c>
      <c r="M9" s="455">
        <f>C9</f>
        <v>726</v>
      </c>
      <c r="N9" s="455">
        <f>D9+E9</f>
        <v>1165</v>
      </c>
      <c r="O9">
        <f>M9*5000/100000</f>
        <v>36.299999999999997</v>
      </c>
      <c r="P9">
        <f>N9*5000/100000</f>
        <v>58.25</v>
      </c>
    </row>
    <row r="10" spans="1:16" ht="15">
      <c r="A10" s="8">
        <v>2</v>
      </c>
      <c r="B10" s="385" t="s">
        <v>890</v>
      </c>
      <c r="C10" s="386">
        <v>1074</v>
      </c>
      <c r="D10" s="386">
        <v>20</v>
      </c>
      <c r="E10" s="386">
        <v>1779</v>
      </c>
      <c r="F10" s="386">
        <f t="shared" ref="F10:F41" si="0">SUM(C10:E10)</f>
        <v>2873</v>
      </c>
      <c r="G10" s="386">
        <v>2873</v>
      </c>
      <c r="H10" s="387"/>
      <c r="J10" s="455">
        <f t="shared" ref="J10:J42" si="1">C10</f>
        <v>1074</v>
      </c>
      <c r="K10" s="455">
        <f t="shared" ref="K10:K42" si="2">D10+E10</f>
        <v>1799</v>
      </c>
      <c r="M10" s="455">
        <f t="shared" ref="M10:M42" si="3">C10</f>
        <v>1074</v>
      </c>
      <c r="N10" s="455">
        <f t="shared" ref="N10:N42" si="4">D10+E10</f>
        <v>1799</v>
      </c>
      <c r="O10">
        <f t="shared" ref="O10:O42" si="5">M10*5000/100000</f>
        <v>53.7</v>
      </c>
      <c r="P10">
        <f t="shared" ref="P10:P42" si="6">N10*5000/100000</f>
        <v>89.95</v>
      </c>
    </row>
    <row r="11" spans="1:16" ht="15">
      <c r="A11" s="8">
        <v>3</v>
      </c>
      <c r="B11" s="385" t="s">
        <v>891</v>
      </c>
      <c r="C11" s="386">
        <v>1722</v>
      </c>
      <c r="D11" s="386">
        <v>6</v>
      </c>
      <c r="E11" s="386">
        <v>955</v>
      </c>
      <c r="F11" s="386">
        <f t="shared" si="0"/>
        <v>2683</v>
      </c>
      <c r="G11" s="386">
        <v>2683</v>
      </c>
      <c r="H11" s="387"/>
      <c r="J11" s="455">
        <f t="shared" si="1"/>
        <v>1722</v>
      </c>
      <c r="K11" s="455">
        <f t="shared" si="2"/>
        <v>961</v>
      </c>
      <c r="M11" s="455">
        <f t="shared" si="3"/>
        <v>1722</v>
      </c>
      <c r="N11" s="455">
        <f t="shared" si="4"/>
        <v>961</v>
      </c>
      <c r="O11">
        <f t="shared" si="5"/>
        <v>86.1</v>
      </c>
      <c r="P11">
        <f t="shared" si="6"/>
        <v>48.05</v>
      </c>
    </row>
    <row r="12" spans="1:16" ht="15">
      <c r="A12" s="8">
        <v>4</v>
      </c>
      <c r="B12" s="385" t="s">
        <v>892</v>
      </c>
      <c r="C12" s="386">
        <v>613</v>
      </c>
      <c r="D12" s="386">
        <v>53</v>
      </c>
      <c r="E12" s="386">
        <v>649</v>
      </c>
      <c r="F12" s="386">
        <f t="shared" si="0"/>
        <v>1315</v>
      </c>
      <c r="G12" s="386">
        <v>1315</v>
      </c>
      <c r="H12" s="387"/>
      <c r="J12" s="455">
        <f t="shared" si="1"/>
        <v>613</v>
      </c>
      <c r="K12" s="455">
        <f t="shared" si="2"/>
        <v>702</v>
      </c>
      <c r="M12" s="455">
        <f t="shared" si="3"/>
        <v>613</v>
      </c>
      <c r="N12" s="455">
        <f t="shared" si="4"/>
        <v>702</v>
      </c>
      <c r="O12">
        <f t="shared" si="5"/>
        <v>30.65</v>
      </c>
      <c r="P12">
        <f t="shared" si="6"/>
        <v>35.1</v>
      </c>
    </row>
    <row r="13" spans="1:16" ht="15">
      <c r="A13" s="8">
        <v>5</v>
      </c>
      <c r="B13" s="385" t="s">
        <v>893</v>
      </c>
      <c r="C13" s="386">
        <v>3049</v>
      </c>
      <c r="D13" s="386">
        <v>7</v>
      </c>
      <c r="E13" s="386">
        <v>1846</v>
      </c>
      <c r="F13" s="386">
        <f t="shared" si="0"/>
        <v>4902</v>
      </c>
      <c r="G13" s="386">
        <v>4902</v>
      </c>
      <c r="H13" s="387"/>
      <c r="J13" s="455">
        <f t="shared" si="1"/>
        <v>3049</v>
      </c>
      <c r="K13" s="455">
        <f t="shared" si="2"/>
        <v>1853</v>
      </c>
      <c r="M13" s="455">
        <f t="shared" si="3"/>
        <v>3049</v>
      </c>
      <c r="N13" s="455">
        <f t="shared" si="4"/>
        <v>1853</v>
      </c>
      <c r="O13">
        <f t="shared" si="5"/>
        <v>152.44999999999999</v>
      </c>
      <c r="P13">
        <f t="shared" si="6"/>
        <v>92.65</v>
      </c>
    </row>
    <row r="14" spans="1:16" ht="15">
      <c r="A14" s="8">
        <v>6</v>
      </c>
      <c r="B14" s="385" t="s">
        <v>894</v>
      </c>
      <c r="C14" s="386">
        <v>639</v>
      </c>
      <c r="D14" s="386">
        <v>83</v>
      </c>
      <c r="E14" s="386">
        <v>1026</v>
      </c>
      <c r="F14" s="386">
        <f t="shared" si="0"/>
        <v>1748</v>
      </c>
      <c r="G14" s="386">
        <v>1748</v>
      </c>
      <c r="H14" s="387"/>
      <c r="J14" s="455">
        <f t="shared" si="1"/>
        <v>639</v>
      </c>
      <c r="K14" s="455">
        <f t="shared" si="2"/>
        <v>1109</v>
      </c>
      <c r="M14" s="455">
        <f t="shared" si="3"/>
        <v>639</v>
      </c>
      <c r="N14" s="455">
        <f t="shared" si="4"/>
        <v>1109</v>
      </c>
      <c r="O14">
        <f t="shared" si="5"/>
        <v>31.95</v>
      </c>
      <c r="P14">
        <f t="shared" si="6"/>
        <v>55.45</v>
      </c>
    </row>
    <row r="15" spans="1:16" ht="15">
      <c r="A15" s="8">
        <v>7</v>
      </c>
      <c r="B15" s="385" t="s">
        <v>895</v>
      </c>
      <c r="C15" s="386">
        <v>1415</v>
      </c>
      <c r="D15" s="386">
        <v>9</v>
      </c>
      <c r="E15" s="386">
        <v>1487</v>
      </c>
      <c r="F15" s="386">
        <f t="shared" si="0"/>
        <v>2911</v>
      </c>
      <c r="G15" s="386">
        <v>2911</v>
      </c>
      <c r="H15" s="387"/>
      <c r="J15" s="455">
        <f t="shared" si="1"/>
        <v>1415</v>
      </c>
      <c r="K15" s="455">
        <f t="shared" si="2"/>
        <v>1496</v>
      </c>
      <c r="M15" s="455">
        <f t="shared" si="3"/>
        <v>1415</v>
      </c>
      <c r="N15" s="455">
        <f t="shared" si="4"/>
        <v>1496</v>
      </c>
      <c r="O15">
        <f t="shared" si="5"/>
        <v>70.75</v>
      </c>
      <c r="P15">
        <f t="shared" si="6"/>
        <v>74.8</v>
      </c>
    </row>
    <row r="16" spans="1:16" ht="15">
      <c r="A16" s="8">
        <v>8</v>
      </c>
      <c r="B16" s="385" t="s">
        <v>896</v>
      </c>
      <c r="C16" s="386">
        <v>1110</v>
      </c>
      <c r="D16" s="386">
        <v>66</v>
      </c>
      <c r="E16" s="386">
        <v>799</v>
      </c>
      <c r="F16" s="386">
        <f t="shared" si="0"/>
        <v>1975</v>
      </c>
      <c r="G16" s="386">
        <v>1975</v>
      </c>
      <c r="H16" s="387"/>
      <c r="J16" s="455">
        <f t="shared" si="1"/>
        <v>1110</v>
      </c>
      <c r="K16" s="455">
        <f t="shared" si="2"/>
        <v>865</v>
      </c>
      <c r="M16" s="455">
        <f t="shared" si="3"/>
        <v>1110</v>
      </c>
      <c r="N16" s="455">
        <f t="shared" si="4"/>
        <v>865</v>
      </c>
      <c r="O16">
        <f t="shared" si="5"/>
        <v>55.5</v>
      </c>
      <c r="P16">
        <f t="shared" si="6"/>
        <v>43.25</v>
      </c>
    </row>
    <row r="17" spans="1:16" ht="15">
      <c r="A17" s="8">
        <v>9</v>
      </c>
      <c r="B17" s="385" t="s">
        <v>897</v>
      </c>
      <c r="C17" s="386">
        <v>640</v>
      </c>
      <c r="D17" s="386">
        <v>4</v>
      </c>
      <c r="E17" s="386">
        <v>636</v>
      </c>
      <c r="F17" s="386">
        <f t="shared" si="0"/>
        <v>1280</v>
      </c>
      <c r="G17" s="386">
        <v>1280</v>
      </c>
      <c r="H17" s="387"/>
      <c r="J17" s="455">
        <f t="shared" si="1"/>
        <v>640</v>
      </c>
      <c r="K17" s="455">
        <f t="shared" si="2"/>
        <v>640</v>
      </c>
      <c r="M17" s="455">
        <f t="shared" si="3"/>
        <v>640</v>
      </c>
      <c r="N17" s="455">
        <f t="shared" si="4"/>
        <v>640</v>
      </c>
      <c r="O17">
        <f t="shared" si="5"/>
        <v>32</v>
      </c>
      <c r="P17">
        <f t="shared" si="6"/>
        <v>32</v>
      </c>
    </row>
    <row r="18" spans="1:16" ht="15">
      <c r="A18" s="8">
        <v>10</v>
      </c>
      <c r="B18" s="385" t="s">
        <v>898</v>
      </c>
      <c r="C18" s="386">
        <v>787</v>
      </c>
      <c r="D18" s="386">
        <v>16</v>
      </c>
      <c r="E18" s="386">
        <v>1029</v>
      </c>
      <c r="F18" s="386">
        <f t="shared" si="0"/>
        <v>1832</v>
      </c>
      <c r="G18" s="386">
        <v>1832</v>
      </c>
      <c r="H18" s="387"/>
      <c r="J18" s="455">
        <f t="shared" si="1"/>
        <v>787</v>
      </c>
      <c r="K18" s="455">
        <f t="shared" si="2"/>
        <v>1045</v>
      </c>
      <c r="M18" s="455">
        <f t="shared" si="3"/>
        <v>787</v>
      </c>
      <c r="N18" s="455">
        <f t="shared" si="4"/>
        <v>1045</v>
      </c>
      <c r="O18">
        <f t="shared" si="5"/>
        <v>39.35</v>
      </c>
      <c r="P18">
        <f t="shared" si="6"/>
        <v>52.25</v>
      </c>
    </row>
    <row r="19" spans="1:16" ht="15">
      <c r="A19" s="8">
        <v>11</v>
      </c>
      <c r="B19" s="385" t="s">
        <v>899</v>
      </c>
      <c r="C19" s="386">
        <v>390</v>
      </c>
      <c r="D19" s="386">
        <v>15</v>
      </c>
      <c r="E19" s="386">
        <v>1009</v>
      </c>
      <c r="F19" s="386">
        <f t="shared" si="0"/>
        <v>1414</v>
      </c>
      <c r="G19" s="386">
        <v>1414</v>
      </c>
      <c r="H19" s="387"/>
      <c r="J19" s="455">
        <f t="shared" si="1"/>
        <v>390</v>
      </c>
      <c r="K19" s="455">
        <f t="shared" si="2"/>
        <v>1024</v>
      </c>
      <c r="M19" s="455">
        <f t="shared" si="3"/>
        <v>390</v>
      </c>
      <c r="N19" s="455">
        <f t="shared" si="4"/>
        <v>1024</v>
      </c>
      <c r="O19">
        <f t="shared" si="5"/>
        <v>19.5</v>
      </c>
      <c r="P19">
        <f t="shared" si="6"/>
        <v>51.2</v>
      </c>
    </row>
    <row r="20" spans="1:16" ht="15">
      <c r="A20" s="8">
        <v>12</v>
      </c>
      <c r="B20" s="385" t="s">
        <v>900</v>
      </c>
      <c r="C20" s="386">
        <v>706</v>
      </c>
      <c r="D20" s="386">
        <v>11</v>
      </c>
      <c r="E20" s="386">
        <v>817</v>
      </c>
      <c r="F20" s="386">
        <f t="shared" si="0"/>
        <v>1534</v>
      </c>
      <c r="G20" s="386">
        <v>1534</v>
      </c>
      <c r="H20" s="387"/>
      <c r="J20" s="455">
        <f t="shared" si="1"/>
        <v>706</v>
      </c>
      <c r="K20" s="455">
        <f t="shared" si="2"/>
        <v>828</v>
      </c>
      <c r="M20" s="455">
        <f t="shared" si="3"/>
        <v>706</v>
      </c>
      <c r="N20" s="455">
        <f t="shared" si="4"/>
        <v>828</v>
      </c>
      <c r="O20">
        <f t="shared" si="5"/>
        <v>35.299999999999997</v>
      </c>
      <c r="P20">
        <f t="shared" si="6"/>
        <v>41.4</v>
      </c>
    </row>
    <row r="21" spans="1:16" ht="15">
      <c r="A21" s="8">
        <v>13</v>
      </c>
      <c r="B21" s="385" t="s">
        <v>901</v>
      </c>
      <c r="C21" s="386">
        <v>571</v>
      </c>
      <c r="D21" s="386">
        <v>7</v>
      </c>
      <c r="E21" s="386">
        <v>572</v>
      </c>
      <c r="F21" s="386">
        <f t="shared" si="0"/>
        <v>1150</v>
      </c>
      <c r="G21" s="386">
        <v>1150</v>
      </c>
      <c r="H21" s="387"/>
      <c r="J21" s="455">
        <f t="shared" si="1"/>
        <v>571</v>
      </c>
      <c r="K21" s="455">
        <f t="shared" si="2"/>
        <v>579</v>
      </c>
      <c r="M21" s="455">
        <f t="shared" si="3"/>
        <v>571</v>
      </c>
      <c r="N21" s="455">
        <f t="shared" si="4"/>
        <v>579</v>
      </c>
      <c r="O21">
        <f t="shared" si="5"/>
        <v>28.55</v>
      </c>
      <c r="P21">
        <f t="shared" si="6"/>
        <v>28.95</v>
      </c>
    </row>
    <row r="22" spans="1:16" ht="15">
      <c r="A22" s="8">
        <v>14</v>
      </c>
      <c r="B22" s="385" t="s">
        <v>902</v>
      </c>
      <c r="C22" s="386">
        <v>1430</v>
      </c>
      <c r="D22" s="386">
        <v>40</v>
      </c>
      <c r="E22" s="386">
        <v>769</v>
      </c>
      <c r="F22" s="386">
        <f t="shared" si="0"/>
        <v>2239</v>
      </c>
      <c r="G22" s="386">
        <v>2239</v>
      </c>
      <c r="H22" s="387"/>
      <c r="J22" s="455">
        <f t="shared" si="1"/>
        <v>1430</v>
      </c>
      <c r="K22" s="455">
        <f t="shared" si="2"/>
        <v>809</v>
      </c>
      <c r="M22" s="455">
        <f t="shared" si="3"/>
        <v>1430</v>
      </c>
      <c r="N22" s="455">
        <f t="shared" si="4"/>
        <v>809</v>
      </c>
      <c r="O22">
        <f t="shared" si="5"/>
        <v>71.5</v>
      </c>
      <c r="P22">
        <f t="shared" si="6"/>
        <v>40.450000000000003</v>
      </c>
    </row>
    <row r="23" spans="1:16" ht="15">
      <c r="A23" s="8">
        <v>15</v>
      </c>
      <c r="B23" s="385" t="s">
        <v>903</v>
      </c>
      <c r="C23" s="386">
        <v>880</v>
      </c>
      <c r="D23" s="386">
        <v>8</v>
      </c>
      <c r="E23" s="386">
        <v>1036</v>
      </c>
      <c r="F23" s="386">
        <f t="shared" si="0"/>
        <v>1924</v>
      </c>
      <c r="G23" s="386">
        <v>1924</v>
      </c>
      <c r="H23" s="387"/>
      <c r="J23" s="455">
        <f t="shared" si="1"/>
        <v>880</v>
      </c>
      <c r="K23" s="455">
        <f t="shared" si="2"/>
        <v>1044</v>
      </c>
      <c r="M23" s="455">
        <f t="shared" si="3"/>
        <v>880</v>
      </c>
      <c r="N23" s="455">
        <f t="shared" si="4"/>
        <v>1044</v>
      </c>
      <c r="O23">
        <f t="shared" si="5"/>
        <v>44</v>
      </c>
      <c r="P23">
        <f t="shared" si="6"/>
        <v>52.2</v>
      </c>
    </row>
    <row r="24" spans="1:16" ht="15">
      <c r="A24" s="8">
        <v>16</v>
      </c>
      <c r="B24" s="385" t="s">
        <v>904</v>
      </c>
      <c r="C24" s="386">
        <v>327</v>
      </c>
      <c r="D24" s="386">
        <v>1</v>
      </c>
      <c r="E24" s="386">
        <v>766</v>
      </c>
      <c r="F24" s="386">
        <f t="shared" si="0"/>
        <v>1094</v>
      </c>
      <c r="G24" s="386">
        <v>1094</v>
      </c>
      <c r="H24" s="387"/>
      <c r="J24" s="455">
        <f t="shared" si="1"/>
        <v>327</v>
      </c>
      <c r="K24" s="455">
        <f t="shared" si="2"/>
        <v>767</v>
      </c>
      <c r="M24" s="455">
        <f t="shared" si="3"/>
        <v>327</v>
      </c>
      <c r="N24" s="455">
        <f t="shared" si="4"/>
        <v>767</v>
      </c>
      <c r="O24">
        <f t="shared" si="5"/>
        <v>16.350000000000001</v>
      </c>
      <c r="P24">
        <f t="shared" si="6"/>
        <v>38.35</v>
      </c>
    </row>
    <row r="25" spans="1:16" ht="15">
      <c r="A25" s="8">
        <v>17</v>
      </c>
      <c r="B25" s="385" t="s">
        <v>905</v>
      </c>
      <c r="C25" s="386">
        <v>1484</v>
      </c>
      <c r="D25" s="386">
        <v>206</v>
      </c>
      <c r="E25" s="386">
        <v>1961</v>
      </c>
      <c r="F25" s="386">
        <f t="shared" si="0"/>
        <v>3651</v>
      </c>
      <c r="G25" s="386">
        <v>3651</v>
      </c>
      <c r="H25" s="387"/>
      <c r="J25" s="455">
        <f t="shared" si="1"/>
        <v>1484</v>
      </c>
      <c r="K25" s="455">
        <f t="shared" si="2"/>
        <v>2167</v>
      </c>
      <c r="M25" s="455">
        <f t="shared" si="3"/>
        <v>1484</v>
      </c>
      <c r="N25" s="455">
        <f t="shared" si="4"/>
        <v>2167</v>
      </c>
      <c r="O25">
        <f t="shared" si="5"/>
        <v>74.2</v>
      </c>
      <c r="P25">
        <f t="shared" si="6"/>
        <v>108.35</v>
      </c>
    </row>
    <row r="26" spans="1:16" ht="15">
      <c r="A26" s="8">
        <v>18</v>
      </c>
      <c r="B26" s="385" t="s">
        <v>906</v>
      </c>
      <c r="C26" s="386">
        <v>808</v>
      </c>
      <c r="D26" s="386">
        <v>3</v>
      </c>
      <c r="E26" s="386">
        <v>469</v>
      </c>
      <c r="F26" s="386">
        <f t="shared" si="0"/>
        <v>1280</v>
      </c>
      <c r="G26" s="386">
        <v>1280</v>
      </c>
      <c r="H26" s="387"/>
      <c r="J26" s="455">
        <f t="shared" si="1"/>
        <v>808</v>
      </c>
      <c r="K26" s="455">
        <f t="shared" si="2"/>
        <v>472</v>
      </c>
      <c r="M26" s="455">
        <f t="shared" si="3"/>
        <v>808</v>
      </c>
      <c r="N26" s="455">
        <f t="shared" si="4"/>
        <v>472</v>
      </c>
      <c r="O26">
        <f t="shared" si="5"/>
        <v>40.4</v>
      </c>
      <c r="P26">
        <f t="shared" si="6"/>
        <v>23.6</v>
      </c>
    </row>
    <row r="27" spans="1:16" ht="15">
      <c r="A27" s="8">
        <v>19</v>
      </c>
      <c r="B27" s="385" t="s">
        <v>907</v>
      </c>
      <c r="C27" s="386">
        <v>986</v>
      </c>
      <c r="D27" s="386">
        <v>2</v>
      </c>
      <c r="E27" s="386">
        <v>920</v>
      </c>
      <c r="F27" s="386">
        <f t="shared" si="0"/>
        <v>1908</v>
      </c>
      <c r="G27" s="386">
        <v>1908</v>
      </c>
      <c r="H27" s="387"/>
      <c r="J27" s="455">
        <f t="shared" si="1"/>
        <v>986</v>
      </c>
      <c r="K27" s="455">
        <f t="shared" si="2"/>
        <v>922</v>
      </c>
      <c r="M27" s="455">
        <f t="shared" si="3"/>
        <v>986</v>
      </c>
      <c r="N27" s="455">
        <f t="shared" si="4"/>
        <v>922</v>
      </c>
      <c r="O27">
        <f t="shared" si="5"/>
        <v>49.3</v>
      </c>
      <c r="P27">
        <f t="shared" si="6"/>
        <v>46.1</v>
      </c>
    </row>
    <row r="28" spans="1:16" ht="15">
      <c r="A28" s="8">
        <v>20</v>
      </c>
      <c r="B28" s="385" t="s">
        <v>908</v>
      </c>
      <c r="C28" s="386">
        <v>818</v>
      </c>
      <c r="D28" s="386">
        <v>10</v>
      </c>
      <c r="E28" s="386">
        <v>926</v>
      </c>
      <c r="F28" s="386">
        <f t="shared" si="0"/>
        <v>1754</v>
      </c>
      <c r="G28" s="386">
        <v>1754</v>
      </c>
      <c r="H28" s="387"/>
      <c r="J28" s="455">
        <f t="shared" si="1"/>
        <v>818</v>
      </c>
      <c r="K28" s="455">
        <f t="shared" si="2"/>
        <v>936</v>
      </c>
      <c r="M28" s="455">
        <f t="shared" si="3"/>
        <v>818</v>
      </c>
      <c r="N28" s="455">
        <f t="shared" si="4"/>
        <v>936</v>
      </c>
      <c r="O28">
        <f t="shared" si="5"/>
        <v>40.9</v>
      </c>
      <c r="P28">
        <f t="shared" si="6"/>
        <v>46.8</v>
      </c>
    </row>
    <row r="29" spans="1:16" ht="15">
      <c r="A29" s="8">
        <v>21</v>
      </c>
      <c r="B29" s="385" t="s">
        <v>909</v>
      </c>
      <c r="C29" s="386">
        <v>505</v>
      </c>
      <c r="D29" s="386">
        <v>12</v>
      </c>
      <c r="E29" s="386">
        <v>1037</v>
      </c>
      <c r="F29" s="386">
        <f t="shared" si="0"/>
        <v>1554</v>
      </c>
      <c r="G29" s="386">
        <v>1554</v>
      </c>
      <c r="H29" s="387"/>
      <c r="J29" s="455">
        <f t="shared" si="1"/>
        <v>505</v>
      </c>
      <c r="K29" s="455">
        <f t="shared" si="2"/>
        <v>1049</v>
      </c>
      <c r="M29" s="455">
        <f t="shared" si="3"/>
        <v>505</v>
      </c>
      <c r="N29" s="455">
        <f t="shared" si="4"/>
        <v>1049</v>
      </c>
      <c r="O29">
        <f t="shared" si="5"/>
        <v>25.25</v>
      </c>
      <c r="P29">
        <f t="shared" si="6"/>
        <v>52.45</v>
      </c>
    </row>
    <row r="30" spans="1:16" ht="15">
      <c r="A30" s="8">
        <v>22</v>
      </c>
      <c r="B30" s="385" t="s">
        <v>910</v>
      </c>
      <c r="C30" s="386">
        <v>2009</v>
      </c>
      <c r="D30" s="386">
        <v>0</v>
      </c>
      <c r="E30" s="386">
        <v>1498</v>
      </c>
      <c r="F30" s="386">
        <f t="shared" si="0"/>
        <v>3507</v>
      </c>
      <c r="G30" s="386">
        <v>3507</v>
      </c>
      <c r="H30" s="387"/>
      <c r="J30" s="455">
        <f t="shared" si="1"/>
        <v>2009</v>
      </c>
      <c r="K30" s="455">
        <f t="shared" si="2"/>
        <v>1498</v>
      </c>
      <c r="M30" s="455">
        <f t="shared" si="3"/>
        <v>2009</v>
      </c>
      <c r="N30" s="455">
        <f t="shared" si="4"/>
        <v>1498</v>
      </c>
      <c r="O30">
        <f t="shared" si="5"/>
        <v>100.45</v>
      </c>
      <c r="P30">
        <f t="shared" si="6"/>
        <v>74.900000000000006</v>
      </c>
    </row>
    <row r="31" spans="1:16" ht="15">
      <c r="A31" s="8">
        <v>23</v>
      </c>
      <c r="B31" s="385" t="s">
        <v>911</v>
      </c>
      <c r="C31" s="386">
        <v>715</v>
      </c>
      <c r="D31" s="386">
        <v>10</v>
      </c>
      <c r="E31" s="386">
        <v>688</v>
      </c>
      <c r="F31" s="386">
        <f t="shared" si="0"/>
        <v>1413</v>
      </c>
      <c r="G31" s="386">
        <v>1413</v>
      </c>
      <c r="H31" s="387"/>
      <c r="J31" s="455">
        <f t="shared" si="1"/>
        <v>715</v>
      </c>
      <c r="K31" s="455">
        <f t="shared" si="2"/>
        <v>698</v>
      </c>
      <c r="M31" s="455">
        <f t="shared" si="3"/>
        <v>715</v>
      </c>
      <c r="N31" s="455">
        <f t="shared" si="4"/>
        <v>698</v>
      </c>
      <c r="O31">
        <f t="shared" si="5"/>
        <v>35.75</v>
      </c>
      <c r="P31">
        <f t="shared" si="6"/>
        <v>34.9</v>
      </c>
    </row>
    <row r="32" spans="1:16" ht="15">
      <c r="A32" s="8">
        <v>24</v>
      </c>
      <c r="B32" s="385" t="s">
        <v>912</v>
      </c>
      <c r="C32" s="386">
        <v>428</v>
      </c>
      <c r="D32" s="386">
        <v>2</v>
      </c>
      <c r="E32" s="386">
        <v>716</v>
      </c>
      <c r="F32" s="386">
        <f t="shared" si="0"/>
        <v>1146</v>
      </c>
      <c r="G32" s="386">
        <v>1146</v>
      </c>
      <c r="H32" s="387"/>
      <c r="J32" s="455">
        <f t="shared" si="1"/>
        <v>428</v>
      </c>
      <c r="K32" s="455">
        <f t="shared" si="2"/>
        <v>718</v>
      </c>
      <c r="M32" s="455">
        <f t="shared" si="3"/>
        <v>428</v>
      </c>
      <c r="N32" s="455">
        <f t="shared" si="4"/>
        <v>718</v>
      </c>
      <c r="O32">
        <f t="shared" si="5"/>
        <v>21.4</v>
      </c>
      <c r="P32">
        <f t="shared" si="6"/>
        <v>35.9</v>
      </c>
    </row>
    <row r="33" spans="1:17" ht="15">
      <c r="A33" s="8">
        <v>25</v>
      </c>
      <c r="B33" s="385" t="s">
        <v>913</v>
      </c>
      <c r="C33" s="388">
        <v>1409</v>
      </c>
      <c r="D33" s="388">
        <v>28</v>
      </c>
      <c r="E33" s="388">
        <v>1680</v>
      </c>
      <c r="F33" s="386">
        <f t="shared" si="0"/>
        <v>3117</v>
      </c>
      <c r="G33" s="386">
        <v>3117</v>
      </c>
      <c r="H33" s="387"/>
      <c r="J33" s="455">
        <f t="shared" si="1"/>
        <v>1409</v>
      </c>
      <c r="K33" s="455">
        <f t="shared" si="2"/>
        <v>1708</v>
      </c>
      <c r="M33" s="455">
        <f t="shared" si="3"/>
        <v>1409</v>
      </c>
      <c r="N33" s="455">
        <f t="shared" si="4"/>
        <v>1708</v>
      </c>
      <c r="O33">
        <f t="shared" si="5"/>
        <v>70.45</v>
      </c>
      <c r="P33">
        <f t="shared" si="6"/>
        <v>85.4</v>
      </c>
    </row>
    <row r="34" spans="1:17" ht="15">
      <c r="A34" s="8">
        <v>26</v>
      </c>
      <c r="B34" s="385" t="s">
        <v>914</v>
      </c>
      <c r="C34" s="388">
        <v>604</v>
      </c>
      <c r="D34" s="388">
        <v>6</v>
      </c>
      <c r="E34" s="388">
        <v>1201</v>
      </c>
      <c r="F34" s="386">
        <f t="shared" si="0"/>
        <v>1811</v>
      </c>
      <c r="G34" s="386">
        <v>1811</v>
      </c>
      <c r="H34" s="387"/>
      <c r="J34" s="455">
        <f t="shared" si="1"/>
        <v>604</v>
      </c>
      <c r="K34" s="455">
        <f t="shared" si="2"/>
        <v>1207</v>
      </c>
      <c r="M34" s="455">
        <f t="shared" si="3"/>
        <v>604</v>
      </c>
      <c r="N34" s="455">
        <f t="shared" si="4"/>
        <v>1207</v>
      </c>
      <c r="O34">
        <f t="shared" si="5"/>
        <v>30.2</v>
      </c>
      <c r="P34">
        <f t="shared" si="6"/>
        <v>60.35</v>
      </c>
    </row>
    <row r="35" spans="1:17" ht="15">
      <c r="A35" s="8">
        <v>27</v>
      </c>
      <c r="B35" s="385" t="s">
        <v>915</v>
      </c>
      <c r="C35" s="386">
        <v>841</v>
      </c>
      <c r="D35" s="386">
        <v>0</v>
      </c>
      <c r="E35" s="386">
        <v>514</v>
      </c>
      <c r="F35" s="386">
        <f t="shared" si="0"/>
        <v>1355</v>
      </c>
      <c r="G35" s="386">
        <v>1355</v>
      </c>
      <c r="H35" s="387"/>
      <c r="J35" s="455">
        <f t="shared" si="1"/>
        <v>841</v>
      </c>
      <c r="K35" s="455">
        <f t="shared" si="2"/>
        <v>514</v>
      </c>
      <c r="M35" s="455">
        <f t="shared" si="3"/>
        <v>841</v>
      </c>
      <c r="N35" s="455">
        <f t="shared" si="4"/>
        <v>514</v>
      </c>
      <c r="O35">
        <f t="shared" si="5"/>
        <v>42.05</v>
      </c>
      <c r="P35">
        <f t="shared" si="6"/>
        <v>25.7</v>
      </c>
    </row>
    <row r="36" spans="1:17" ht="15">
      <c r="A36" s="8">
        <v>28</v>
      </c>
      <c r="B36" s="385" t="s">
        <v>916</v>
      </c>
      <c r="C36" s="388">
        <v>849</v>
      </c>
      <c r="D36" s="388">
        <v>7</v>
      </c>
      <c r="E36" s="388">
        <v>831</v>
      </c>
      <c r="F36" s="386">
        <f t="shared" si="0"/>
        <v>1687</v>
      </c>
      <c r="G36" s="386">
        <v>1687</v>
      </c>
      <c r="H36" s="387"/>
      <c r="J36" s="455">
        <f t="shared" si="1"/>
        <v>849</v>
      </c>
      <c r="K36" s="455">
        <f t="shared" si="2"/>
        <v>838</v>
      </c>
      <c r="M36" s="455">
        <f t="shared" si="3"/>
        <v>849</v>
      </c>
      <c r="N36" s="455">
        <f t="shared" si="4"/>
        <v>838</v>
      </c>
      <c r="O36">
        <f t="shared" si="5"/>
        <v>42.45</v>
      </c>
      <c r="P36">
        <f t="shared" si="6"/>
        <v>41.9</v>
      </c>
    </row>
    <row r="37" spans="1:17" ht="15">
      <c r="A37" s="8">
        <v>29</v>
      </c>
      <c r="B37" s="385" t="s">
        <v>917</v>
      </c>
      <c r="C37" s="388">
        <v>509</v>
      </c>
      <c r="D37" s="388">
        <v>75</v>
      </c>
      <c r="E37" s="388">
        <v>539</v>
      </c>
      <c r="F37" s="386">
        <f t="shared" si="0"/>
        <v>1123</v>
      </c>
      <c r="G37" s="386">
        <v>1123</v>
      </c>
      <c r="H37" s="387"/>
      <c r="J37" s="455">
        <f t="shared" si="1"/>
        <v>509</v>
      </c>
      <c r="K37" s="455">
        <f t="shared" si="2"/>
        <v>614</v>
      </c>
      <c r="M37" s="455">
        <f t="shared" si="3"/>
        <v>509</v>
      </c>
      <c r="N37" s="455">
        <f t="shared" si="4"/>
        <v>614</v>
      </c>
      <c r="O37">
        <f t="shared" si="5"/>
        <v>25.45</v>
      </c>
      <c r="P37">
        <f t="shared" si="6"/>
        <v>30.7</v>
      </c>
    </row>
    <row r="38" spans="1:17" ht="15">
      <c r="A38" s="8">
        <v>30</v>
      </c>
      <c r="B38" s="385" t="s">
        <v>918</v>
      </c>
      <c r="C38" s="386">
        <v>617</v>
      </c>
      <c r="D38" s="386">
        <v>15</v>
      </c>
      <c r="E38" s="386">
        <v>1313</v>
      </c>
      <c r="F38" s="386">
        <f t="shared" si="0"/>
        <v>1945</v>
      </c>
      <c r="G38" s="386">
        <v>1945</v>
      </c>
      <c r="H38" s="387"/>
      <c r="J38" s="455">
        <f t="shared" si="1"/>
        <v>617</v>
      </c>
      <c r="K38" s="455">
        <f t="shared" si="2"/>
        <v>1328</v>
      </c>
      <c r="M38" s="455">
        <f t="shared" si="3"/>
        <v>617</v>
      </c>
      <c r="N38" s="455">
        <f t="shared" si="4"/>
        <v>1328</v>
      </c>
      <c r="O38">
        <f t="shared" si="5"/>
        <v>30.85</v>
      </c>
      <c r="P38">
        <f t="shared" si="6"/>
        <v>66.400000000000006</v>
      </c>
    </row>
    <row r="39" spans="1:17" ht="15">
      <c r="A39" s="8">
        <v>31</v>
      </c>
      <c r="B39" s="385" t="s">
        <v>919</v>
      </c>
      <c r="C39" s="388">
        <v>466</v>
      </c>
      <c r="D39" s="388">
        <v>1</v>
      </c>
      <c r="E39" s="388">
        <v>462</v>
      </c>
      <c r="F39" s="386">
        <f t="shared" si="0"/>
        <v>929</v>
      </c>
      <c r="G39" s="386">
        <v>929</v>
      </c>
      <c r="H39" s="387"/>
      <c r="J39" s="455">
        <f t="shared" si="1"/>
        <v>466</v>
      </c>
      <c r="K39" s="455">
        <f t="shared" si="2"/>
        <v>463</v>
      </c>
      <c r="M39" s="455">
        <f t="shared" si="3"/>
        <v>466</v>
      </c>
      <c r="N39" s="455">
        <f t="shared" si="4"/>
        <v>463</v>
      </c>
      <c r="O39">
        <f t="shared" si="5"/>
        <v>23.3</v>
      </c>
      <c r="P39">
        <f t="shared" si="6"/>
        <v>23.15</v>
      </c>
    </row>
    <row r="40" spans="1:17" ht="15">
      <c r="A40" s="8">
        <v>32</v>
      </c>
      <c r="B40" s="385" t="s">
        <v>920</v>
      </c>
      <c r="C40" s="388">
        <v>730</v>
      </c>
      <c r="D40" s="388">
        <v>5</v>
      </c>
      <c r="E40" s="388">
        <v>840</v>
      </c>
      <c r="F40" s="386">
        <f t="shared" si="0"/>
        <v>1575</v>
      </c>
      <c r="G40" s="386">
        <v>1575</v>
      </c>
      <c r="H40" s="387"/>
      <c r="J40" s="455">
        <f t="shared" si="1"/>
        <v>730</v>
      </c>
      <c r="K40" s="455">
        <f t="shared" si="2"/>
        <v>845</v>
      </c>
      <c r="M40" s="455">
        <f t="shared" si="3"/>
        <v>730</v>
      </c>
      <c r="N40" s="455">
        <f t="shared" si="4"/>
        <v>845</v>
      </c>
      <c r="O40">
        <f t="shared" si="5"/>
        <v>36.5</v>
      </c>
      <c r="P40">
        <f t="shared" si="6"/>
        <v>42.25</v>
      </c>
    </row>
    <row r="41" spans="1:17" ht="15">
      <c r="A41" s="8">
        <v>33</v>
      </c>
      <c r="B41" s="385" t="s">
        <v>921</v>
      </c>
      <c r="C41" s="388">
        <v>2453</v>
      </c>
      <c r="D41" s="388">
        <v>6</v>
      </c>
      <c r="E41" s="388">
        <v>1514</v>
      </c>
      <c r="F41" s="386">
        <f t="shared" si="0"/>
        <v>3973</v>
      </c>
      <c r="G41" s="386">
        <v>3973</v>
      </c>
      <c r="H41" s="387"/>
      <c r="J41" s="455">
        <f t="shared" si="1"/>
        <v>2453</v>
      </c>
      <c r="K41" s="455">
        <f t="shared" si="2"/>
        <v>1520</v>
      </c>
      <c r="M41" s="455">
        <f t="shared" si="3"/>
        <v>2453</v>
      </c>
      <c r="N41" s="455">
        <f t="shared" si="4"/>
        <v>1520</v>
      </c>
      <c r="O41">
        <f t="shared" si="5"/>
        <v>122.65</v>
      </c>
      <c r="P41">
        <f t="shared" si="6"/>
        <v>76</v>
      </c>
    </row>
    <row r="42" spans="1:17" ht="15">
      <c r="A42" s="8"/>
      <c r="B42" s="389" t="s">
        <v>19</v>
      </c>
      <c r="C42" s="390">
        <f>SUM(C9:C41)</f>
        <v>32310</v>
      </c>
      <c r="D42" s="390">
        <f t="shared" ref="D42:G42" si="7">SUM(D9:D41)</f>
        <v>742</v>
      </c>
      <c r="E42" s="390">
        <f t="shared" si="7"/>
        <v>33441</v>
      </c>
      <c r="F42" s="390">
        <f t="shared" si="7"/>
        <v>66493</v>
      </c>
      <c r="G42" s="390">
        <f t="shared" si="7"/>
        <v>66493</v>
      </c>
      <c r="H42" s="387"/>
      <c r="I42" s="455"/>
      <c r="J42" s="455">
        <f t="shared" si="1"/>
        <v>32310</v>
      </c>
      <c r="K42" s="455">
        <f t="shared" si="2"/>
        <v>34183</v>
      </c>
      <c r="L42" s="455"/>
      <c r="M42" s="455">
        <f t="shared" si="3"/>
        <v>32310</v>
      </c>
      <c r="N42" s="455">
        <f t="shared" si="4"/>
        <v>34183</v>
      </c>
      <c r="O42">
        <f t="shared" si="5"/>
        <v>1615.5</v>
      </c>
      <c r="P42">
        <f t="shared" si="6"/>
        <v>1709.15</v>
      </c>
    </row>
    <row r="44" spans="1:17">
      <c r="A44" s="223" t="s">
        <v>272</v>
      </c>
      <c r="P44">
        <f>O42+P42</f>
        <v>3324.65</v>
      </c>
    </row>
    <row r="46" spans="1:17">
      <c r="D46" s="455">
        <f>D42+E42</f>
        <v>34183</v>
      </c>
      <c r="E46" s="455"/>
      <c r="P46" s="743">
        <f>200/66493*32310</f>
        <v>97.183162137367844</v>
      </c>
      <c r="Q46" s="743">
        <f>200-P46</f>
        <v>102.81683786263216</v>
      </c>
    </row>
    <row r="47" spans="1:17" ht="15" customHeight="1">
      <c r="A47" s="224"/>
      <c r="B47" s="224"/>
      <c r="C47" s="224"/>
      <c r="D47" s="224"/>
      <c r="E47" s="224"/>
      <c r="F47" s="917" t="s">
        <v>13</v>
      </c>
      <c r="G47" s="917"/>
      <c r="H47" s="225"/>
    </row>
    <row r="48" spans="1:17" ht="15" customHeight="1">
      <c r="A48" s="224"/>
      <c r="B48" s="224"/>
      <c r="C48" s="224"/>
      <c r="D48" s="224"/>
      <c r="E48" s="224"/>
      <c r="F48" s="917" t="s">
        <v>14</v>
      </c>
      <c r="G48" s="917"/>
      <c r="H48" s="917"/>
    </row>
    <row r="49" spans="1:14" ht="15" customHeight="1">
      <c r="A49" s="224"/>
      <c r="B49" s="224"/>
      <c r="C49" s="224"/>
      <c r="D49" s="224"/>
      <c r="E49" s="224"/>
      <c r="F49" s="917" t="s">
        <v>90</v>
      </c>
      <c r="G49" s="917"/>
      <c r="H49" s="917"/>
    </row>
    <row r="50" spans="1:14">
      <c r="A50" s="224" t="s">
        <v>12</v>
      </c>
      <c r="C50" s="224"/>
      <c r="D50" s="224"/>
      <c r="E50" s="224"/>
      <c r="F50" s="918" t="s">
        <v>87</v>
      </c>
      <c r="G50" s="918"/>
      <c r="H50" s="226"/>
    </row>
    <row r="51" spans="1:14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</row>
  </sheetData>
  <mergeCells count="8">
    <mergeCell ref="F49:H49"/>
    <mergeCell ref="F50:G50"/>
    <mergeCell ref="A1:G1"/>
    <mergeCell ref="A2:H2"/>
    <mergeCell ref="A4:H4"/>
    <mergeCell ref="G6:H6"/>
    <mergeCell ref="F47:G47"/>
    <mergeCell ref="F48:H48"/>
  </mergeCells>
  <printOptions horizontalCentered="1"/>
  <pageMargins left="0.70866141732283472" right="0.70866141732283472" top="0.23622047244094491" bottom="0" header="0.31496062992125984" footer="0.31496062992125984"/>
  <pageSetup paperSize="9" scale="73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38"/>
  <sheetViews>
    <sheetView view="pageBreakPreview" topLeftCell="A7" zoomScaleSheetLayoutView="100" workbookViewId="0">
      <selection activeCell="F14" sqref="F14"/>
    </sheetView>
  </sheetViews>
  <sheetFormatPr defaultRowHeight="12.75"/>
  <cols>
    <col min="1" max="1" width="7.42578125" style="177" customWidth="1"/>
    <col min="2" max="2" width="17.140625" style="177" customWidth="1"/>
    <col min="3" max="3" width="11" style="177" customWidth="1"/>
    <col min="4" max="4" width="10" style="177" customWidth="1"/>
    <col min="5" max="5" width="11.85546875" style="177" customWidth="1"/>
    <col min="6" max="6" width="12.140625" style="177" customWidth="1"/>
    <col min="7" max="7" width="13.28515625" style="177" customWidth="1"/>
    <col min="8" max="8" width="14.5703125" style="177" customWidth="1"/>
    <col min="9" max="9" width="12" style="177" customWidth="1"/>
    <col min="10" max="10" width="13.140625" style="177" customWidth="1"/>
    <col min="11" max="11" width="12.140625" style="177" customWidth="1"/>
    <col min="12" max="12" width="12" style="177" customWidth="1"/>
    <col min="13" max="16384" width="9.140625" style="177"/>
  </cols>
  <sheetData>
    <row r="1" spans="1:19" s="92" customFormat="1">
      <c r="E1" s="1174"/>
      <c r="F1" s="1174"/>
      <c r="G1" s="1174"/>
      <c r="H1" s="1174"/>
      <c r="I1" s="1174"/>
      <c r="J1" s="342" t="s">
        <v>684</v>
      </c>
    </row>
    <row r="2" spans="1:19" s="92" customFormat="1" ht="15">
      <c r="A2" s="1175" t="s">
        <v>0</v>
      </c>
      <c r="B2" s="1175"/>
      <c r="C2" s="1175"/>
      <c r="D2" s="1175"/>
      <c r="E2" s="1175"/>
      <c r="F2" s="1175"/>
      <c r="G2" s="1175"/>
      <c r="H2" s="1175"/>
      <c r="I2" s="1175"/>
      <c r="J2" s="1175"/>
    </row>
    <row r="3" spans="1:19" s="92" customFormat="1" ht="20.25">
      <c r="A3" s="912" t="s">
        <v>705</v>
      </c>
      <c r="B3" s="912"/>
      <c r="C3" s="912"/>
      <c r="D3" s="912"/>
      <c r="E3" s="912"/>
      <c r="F3" s="912"/>
      <c r="G3" s="912"/>
      <c r="H3" s="912"/>
      <c r="I3" s="912"/>
      <c r="J3" s="912"/>
    </row>
    <row r="4" spans="1:19" s="92" customFormat="1" ht="14.25" customHeight="1"/>
    <row r="5" spans="1:19" ht="16.5" customHeight="1">
      <c r="A5" s="1176" t="s">
        <v>780</v>
      </c>
      <c r="B5" s="1176"/>
      <c r="C5" s="1176"/>
      <c r="D5" s="1176"/>
      <c r="E5" s="1176"/>
      <c r="F5" s="1176"/>
      <c r="G5" s="1176"/>
      <c r="H5" s="1176"/>
      <c r="I5" s="1176"/>
      <c r="J5" s="1176"/>
      <c r="K5" s="1176"/>
      <c r="L5" s="1176"/>
    </row>
    <row r="6" spans="1:19" ht="13.5" customHeight="1">
      <c r="A6" s="343"/>
      <c r="B6" s="343"/>
      <c r="C6" s="343"/>
      <c r="D6" s="343"/>
      <c r="E6" s="343"/>
      <c r="F6" s="343"/>
      <c r="G6" s="343"/>
      <c r="H6" s="343"/>
      <c r="I6" s="343"/>
      <c r="J6" s="343"/>
    </row>
    <row r="7" spans="1:19" ht="0.75" customHeight="1"/>
    <row r="8" spans="1:19">
      <c r="A8" s="1142" t="s">
        <v>922</v>
      </c>
      <c r="B8" s="1142"/>
      <c r="C8" s="344"/>
      <c r="H8" s="1177" t="s">
        <v>782</v>
      </c>
      <c r="I8" s="1177"/>
      <c r="J8" s="1177"/>
      <c r="K8" s="1177"/>
      <c r="L8" s="1177"/>
    </row>
    <row r="9" spans="1:19" ht="21" customHeight="1">
      <c r="A9" s="1045" t="s">
        <v>2</v>
      </c>
      <c r="B9" s="1045" t="s">
        <v>40</v>
      </c>
      <c r="C9" s="1171" t="s">
        <v>678</v>
      </c>
      <c r="D9" s="1171"/>
      <c r="E9" s="1171" t="s">
        <v>130</v>
      </c>
      <c r="F9" s="1171"/>
      <c r="G9" s="1171" t="s">
        <v>679</v>
      </c>
      <c r="H9" s="1171"/>
      <c r="I9" s="1171" t="s">
        <v>131</v>
      </c>
      <c r="J9" s="1171"/>
      <c r="K9" s="1171" t="s">
        <v>132</v>
      </c>
      <c r="L9" s="1171"/>
      <c r="O9" s="345"/>
      <c r="P9" s="346"/>
    </row>
    <row r="10" spans="1:19" ht="45" customHeight="1">
      <c r="A10" s="1045"/>
      <c r="B10" s="1045"/>
      <c r="C10" s="97" t="s">
        <v>680</v>
      </c>
      <c r="D10" s="97" t="s">
        <v>681</v>
      </c>
      <c r="E10" s="97" t="s">
        <v>682</v>
      </c>
      <c r="F10" s="97" t="s">
        <v>683</v>
      </c>
      <c r="G10" s="97" t="s">
        <v>682</v>
      </c>
      <c r="H10" s="97" t="s">
        <v>683</v>
      </c>
      <c r="I10" s="97" t="s">
        <v>680</v>
      </c>
      <c r="J10" s="97" t="s">
        <v>681</v>
      </c>
      <c r="K10" s="97" t="s">
        <v>680</v>
      </c>
      <c r="L10" s="97" t="s">
        <v>681</v>
      </c>
    </row>
    <row r="11" spans="1:19" ht="13.5" thickBot="1">
      <c r="A11" s="97">
        <v>1</v>
      </c>
      <c r="B11" s="97">
        <v>2</v>
      </c>
      <c r="C11" s="605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  <c r="L11" s="97">
        <v>12</v>
      </c>
      <c r="M11" s="606"/>
      <c r="N11" s="606"/>
      <c r="O11" s="606"/>
      <c r="P11" s="606"/>
      <c r="Q11" s="606"/>
      <c r="R11" s="629"/>
      <c r="S11" s="627"/>
    </row>
    <row r="12" spans="1:19" ht="15.75" thickBot="1">
      <c r="A12" s="347">
        <v>1</v>
      </c>
      <c r="B12" s="630" t="s">
        <v>893</v>
      </c>
      <c r="C12" s="631">
        <v>567.6</v>
      </c>
      <c r="D12" s="628">
        <v>221.364</v>
      </c>
      <c r="E12" s="628">
        <v>163.58700000000005</v>
      </c>
      <c r="F12" s="628">
        <v>91.201967999999994</v>
      </c>
      <c r="G12" s="628">
        <v>19.167999999999999</v>
      </c>
      <c r="H12" s="628">
        <f>G12</f>
        <v>19.167999999999999</v>
      </c>
      <c r="I12" s="628">
        <v>4.2569999999999997</v>
      </c>
      <c r="J12" s="628">
        <v>4.2569999999999997</v>
      </c>
      <c r="K12" s="628">
        <v>2.0940000000000003</v>
      </c>
      <c r="L12" s="628">
        <v>2.0940000000000003</v>
      </c>
      <c r="P12" s="627"/>
      <c r="R12" s="629"/>
      <c r="S12" s="627"/>
    </row>
    <row r="13" spans="1:19" ht="15.75" thickBot="1">
      <c r="A13" s="347">
        <v>2</v>
      </c>
      <c r="B13" s="630" t="s">
        <v>895</v>
      </c>
      <c r="C13" s="631">
        <v>191.7</v>
      </c>
      <c r="D13" s="628">
        <v>88.182000000000002</v>
      </c>
      <c r="E13" s="628">
        <v>55.400999999999982</v>
      </c>
      <c r="F13" s="628">
        <v>36.330984000000001</v>
      </c>
      <c r="G13" s="628">
        <v>5.3520000000000003</v>
      </c>
      <c r="H13" s="628">
        <f t="shared" ref="H13:H24" si="0">G13</f>
        <v>5.3520000000000003</v>
      </c>
      <c r="I13" s="628">
        <v>1.4377500000000001</v>
      </c>
      <c r="J13" s="628">
        <v>1.4377500000000001</v>
      </c>
      <c r="K13" s="628">
        <v>0.67200000000000015</v>
      </c>
      <c r="L13" s="628">
        <v>0.67200000000000015</v>
      </c>
      <c r="N13" s="606"/>
      <c r="O13" s="606"/>
      <c r="P13" s="627"/>
      <c r="R13" s="629"/>
      <c r="S13" s="627"/>
    </row>
    <row r="14" spans="1:19" ht="15.75" thickBot="1">
      <c r="A14" s="347">
        <v>3</v>
      </c>
      <c r="B14" s="630" t="s">
        <v>896</v>
      </c>
      <c r="C14" s="631">
        <v>28.2</v>
      </c>
      <c r="D14" s="628">
        <v>15.792000000000002</v>
      </c>
      <c r="E14" s="628">
        <v>8.411999999999999</v>
      </c>
      <c r="F14" s="628">
        <v>6.5063040000000001</v>
      </c>
      <c r="G14" s="628">
        <v>1.1080000000000001</v>
      </c>
      <c r="H14" s="628">
        <f t="shared" si="0"/>
        <v>1.1080000000000001</v>
      </c>
      <c r="I14" s="628">
        <v>0.21149999999999999</v>
      </c>
      <c r="J14" s="628">
        <v>0.21149999999999999</v>
      </c>
      <c r="K14" s="628">
        <v>0.13500000000000001</v>
      </c>
      <c r="L14" s="628">
        <v>0.13500000000000001</v>
      </c>
      <c r="N14" s="606"/>
      <c r="O14" s="606"/>
      <c r="P14" s="627"/>
      <c r="R14" s="629"/>
      <c r="S14" s="627"/>
    </row>
    <row r="15" spans="1:19" ht="15.75" thickBot="1">
      <c r="A15" s="347">
        <v>4</v>
      </c>
      <c r="B15" s="630" t="s">
        <v>899</v>
      </c>
      <c r="C15" s="631">
        <v>61.5</v>
      </c>
      <c r="D15" s="628">
        <v>26.442</v>
      </c>
      <c r="E15" s="628">
        <v>17.780999999999999</v>
      </c>
      <c r="F15" s="628">
        <v>10.894103999999999</v>
      </c>
      <c r="G15" s="628">
        <v>2.1720000000000002</v>
      </c>
      <c r="H15" s="628">
        <f t="shared" si="0"/>
        <v>2.1720000000000002</v>
      </c>
      <c r="I15" s="628">
        <v>0.46124999999999999</v>
      </c>
      <c r="J15" s="628">
        <v>0.46124999999999999</v>
      </c>
      <c r="K15" s="628">
        <v>0.26400000000000001</v>
      </c>
      <c r="L15" s="628">
        <v>0.26400000000000001</v>
      </c>
      <c r="N15" s="606"/>
      <c r="O15" s="606"/>
      <c r="P15" s="627"/>
      <c r="R15" s="629"/>
      <c r="S15" s="627"/>
    </row>
    <row r="16" spans="1:19" ht="15.75" thickBot="1">
      <c r="A16" s="347">
        <v>5</v>
      </c>
      <c r="B16" s="630" t="s">
        <v>902</v>
      </c>
      <c r="C16" s="631">
        <v>31.8</v>
      </c>
      <c r="D16" s="628">
        <v>12.084</v>
      </c>
      <c r="E16" s="628">
        <v>9.1890000000000001</v>
      </c>
      <c r="F16" s="628">
        <v>4.9786079999999995</v>
      </c>
      <c r="G16" s="628">
        <v>4.3279999999999994</v>
      </c>
      <c r="H16" s="628">
        <f t="shared" si="0"/>
        <v>4.3279999999999994</v>
      </c>
      <c r="I16" s="628">
        <v>0.23849999999999999</v>
      </c>
      <c r="J16" s="628">
        <v>0.23849999999999999</v>
      </c>
      <c r="K16" s="628">
        <v>0.12</v>
      </c>
      <c r="L16" s="628">
        <v>0.12</v>
      </c>
      <c r="N16" s="606"/>
      <c r="O16" s="606"/>
      <c r="P16" s="627"/>
      <c r="R16" s="629"/>
      <c r="S16" s="627"/>
    </row>
    <row r="17" spans="1:19" ht="15.75" thickBot="1">
      <c r="A17" s="347">
        <v>6</v>
      </c>
      <c r="B17" s="630" t="s">
        <v>903</v>
      </c>
      <c r="C17" s="631">
        <v>7.5</v>
      </c>
      <c r="D17" s="628">
        <v>4.2720000000000002</v>
      </c>
      <c r="E17" s="628">
        <v>2.7299999999999995</v>
      </c>
      <c r="F17" s="628">
        <v>1.7600639999999999</v>
      </c>
      <c r="G17" s="628">
        <v>0.47200000000000009</v>
      </c>
      <c r="H17" s="628">
        <f t="shared" si="0"/>
        <v>0.47200000000000009</v>
      </c>
      <c r="I17" s="628">
        <v>5.6250000000000001E-2</v>
      </c>
      <c r="J17" s="628">
        <v>5.6250000000000001E-2</v>
      </c>
      <c r="K17" s="628">
        <v>5.6999999999999995E-2</v>
      </c>
      <c r="L17" s="628">
        <v>5.6999999999999995E-2</v>
      </c>
      <c r="N17" s="606"/>
      <c r="O17" s="606"/>
      <c r="P17" s="627"/>
      <c r="R17" s="629"/>
      <c r="S17" s="627"/>
    </row>
    <row r="18" spans="1:19" ht="15.75" thickBot="1">
      <c r="A18" s="347">
        <v>7</v>
      </c>
      <c r="B18" s="630" t="s">
        <v>904</v>
      </c>
      <c r="C18" s="631">
        <v>42.9</v>
      </c>
      <c r="D18" s="628">
        <v>21.018000000000001</v>
      </c>
      <c r="E18" s="628">
        <v>12.399000000000001</v>
      </c>
      <c r="F18" s="628">
        <v>8.6594160000000002</v>
      </c>
      <c r="G18" s="628">
        <v>2.1639999999999997</v>
      </c>
      <c r="H18" s="628">
        <f t="shared" si="0"/>
        <v>2.1639999999999997</v>
      </c>
      <c r="I18" s="628">
        <v>0.32174999999999998</v>
      </c>
      <c r="J18" s="628">
        <v>0.32174999999999998</v>
      </c>
      <c r="K18" s="628">
        <v>0.19500000000000001</v>
      </c>
      <c r="L18" s="628">
        <v>0.19500000000000001</v>
      </c>
      <c r="N18" s="606"/>
      <c r="O18" s="606"/>
      <c r="P18" s="627"/>
      <c r="R18" s="629"/>
      <c r="S18" s="627"/>
    </row>
    <row r="19" spans="1:19" ht="15.75" thickBot="1">
      <c r="A19" s="347">
        <v>8</v>
      </c>
      <c r="B19" s="630" t="s">
        <v>905</v>
      </c>
      <c r="C19" s="631">
        <v>99.3</v>
      </c>
      <c r="D19" s="628">
        <v>48.654000000000003</v>
      </c>
      <c r="E19" s="628">
        <v>28.697999999999993</v>
      </c>
      <c r="F19" s="628">
        <v>20.045447999999997</v>
      </c>
      <c r="G19" s="628">
        <v>5.4399999999999995</v>
      </c>
      <c r="H19" s="628">
        <f t="shared" si="0"/>
        <v>5.4399999999999995</v>
      </c>
      <c r="I19" s="628">
        <v>0.74475000000000002</v>
      </c>
      <c r="J19" s="628">
        <v>0.74475000000000002</v>
      </c>
      <c r="K19" s="628">
        <v>0.375</v>
      </c>
      <c r="L19" s="628">
        <v>0.375</v>
      </c>
      <c r="N19" s="606"/>
      <c r="O19" s="606"/>
      <c r="P19" s="627"/>
      <c r="R19" s="629"/>
      <c r="S19" s="627"/>
    </row>
    <row r="20" spans="1:19" ht="15.75" thickBot="1">
      <c r="A20" s="347">
        <v>9</v>
      </c>
      <c r="B20" s="630" t="s">
        <v>906</v>
      </c>
      <c r="C20" s="631">
        <v>203.1</v>
      </c>
      <c r="D20" s="628">
        <v>69.054000000000002</v>
      </c>
      <c r="E20" s="628">
        <v>58.694999999999993</v>
      </c>
      <c r="F20" s="628">
        <v>28.450247999999998</v>
      </c>
      <c r="G20" s="628">
        <v>12.716000000000001</v>
      </c>
      <c r="H20" s="628">
        <f t="shared" si="0"/>
        <v>12.716000000000001</v>
      </c>
      <c r="I20" s="628">
        <v>1.52325</v>
      </c>
      <c r="J20" s="628">
        <v>1.52325</v>
      </c>
      <c r="K20" s="628">
        <v>0.71100000000000008</v>
      </c>
      <c r="L20" s="628">
        <v>0.71100000000000008</v>
      </c>
      <c r="N20" s="606"/>
      <c r="O20" s="606"/>
      <c r="P20" s="627"/>
      <c r="R20" s="629"/>
      <c r="S20" s="627"/>
    </row>
    <row r="21" spans="1:19" ht="15.75" thickBot="1">
      <c r="A21" s="347">
        <v>10</v>
      </c>
      <c r="B21" s="630" t="s">
        <v>909</v>
      </c>
      <c r="C21" s="631">
        <v>39.6</v>
      </c>
      <c r="D21" s="628">
        <v>15.048</v>
      </c>
      <c r="E21" s="628">
        <v>11.445</v>
      </c>
      <c r="F21" s="628">
        <v>6.199776</v>
      </c>
      <c r="G21" s="628">
        <v>3.4320000000000004</v>
      </c>
      <c r="H21" s="628">
        <f t="shared" si="0"/>
        <v>3.4320000000000004</v>
      </c>
      <c r="I21" s="628">
        <v>0.29699999999999999</v>
      </c>
      <c r="J21" s="628">
        <v>0.29699999999999999</v>
      </c>
      <c r="K21" s="628">
        <v>0.16199999999999998</v>
      </c>
      <c r="L21" s="628">
        <v>0.16199999999999998</v>
      </c>
      <c r="N21" s="606"/>
      <c r="O21" s="606"/>
      <c r="P21" s="627"/>
      <c r="R21" s="629"/>
      <c r="S21" s="627"/>
    </row>
    <row r="22" spans="1:19" ht="15.75" thickBot="1">
      <c r="A22" s="347">
        <v>11</v>
      </c>
      <c r="B22" s="630" t="s">
        <v>910</v>
      </c>
      <c r="C22" s="631">
        <v>112.8</v>
      </c>
      <c r="D22" s="628">
        <v>48.503999999999998</v>
      </c>
      <c r="E22" s="628">
        <v>32.234999999999999</v>
      </c>
      <c r="F22" s="628">
        <v>19.983647999999999</v>
      </c>
      <c r="G22" s="628">
        <v>3.96</v>
      </c>
      <c r="H22" s="628">
        <f t="shared" si="0"/>
        <v>3.96</v>
      </c>
      <c r="I22" s="628">
        <v>0.84599999999999997</v>
      </c>
      <c r="J22" s="628">
        <v>0.84599999999999997</v>
      </c>
      <c r="K22" s="628">
        <v>0.42900000000000005</v>
      </c>
      <c r="L22" s="628">
        <v>0.42900000000000005</v>
      </c>
      <c r="N22" s="606"/>
      <c r="O22" s="606"/>
      <c r="P22" s="627"/>
      <c r="R22" s="629"/>
      <c r="S22" s="627"/>
    </row>
    <row r="23" spans="1:19" ht="15.75" thickBot="1">
      <c r="A23" s="347">
        <v>12</v>
      </c>
      <c r="B23" s="630" t="s">
        <v>913</v>
      </c>
      <c r="C23" s="631">
        <v>13.8</v>
      </c>
      <c r="D23" s="628">
        <v>6.3479999999999999</v>
      </c>
      <c r="E23" s="628">
        <v>4.782</v>
      </c>
      <c r="F23" s="628">
        <v>2.6153759999999999</v>
      </c>
      <c r="G23" s="628">
        <v>0.46800000000000008</v>
      </c>
      <c r="H23" s="628">
        <f t="shared" si="0"/>
        <v>0.46800000000000008</v>
      </c>
      <c r="I23" s="628">
        <v>0.10349999999999999</v>
      </c>
      <c r="J23" s="628">
        <v>0.10349999999999999</v>
      </c>
      <c r="K23" s="628">
        <v>8.0999999999999989E-2</v>
      </c>
      <c r="L23" s="628">
        <v>8.0999999999999989E-2</v>
      </c>
      <c r="N23" s="606"/>
      <c r="O23" s="606"/>
      <c r="P23" s="627"/>
      <c r="R23" s="629"/>
      <c r="S23" s="627"/>
    </row>
    <row r="24" spans="1:19" ht="15">
      <c r="A24" s="347">
        <v>13</v>
      </c>
      <c r="B24" s="630" t="s">
        <v>917</v>
      </c>
      <c r="C24" s="631">
        <v>162.6</v>
      </c>
      <c r="D24" s="628">
        <v>63.414000000000001</v>
      </c>
      <c r="E24" s="628">
        <v>46.182000000000002</v>
      </c>
      <c r="F24" s="628">
        <v>26.126567999999999</v>
      </c>
      <c r="G24" s="628">
        <v>4.4799999999999995</v>
      </c>
      <c r="H24" s="628">
        <f t="shared" si="0"/>
        <v>4.4799999999999995</v>
      </c>
      <c r="I24" s="628">
        <v>1.2195</v>
      </c>
      <c r="J24" s="628">
        <v>1.2195</v>
      </c>
      <c r="K24" s="628">
        <v>0.58200000000000007</v>
      </c>
      <c r="L24" s="628">
        <v>0.58200000000000007</v>
      </c>
      <c r="N24" s="606"/>
      <c r="O24" s="606"/>
      <c r="P24" s="627"/>
    </row>
    <row r="25" spans="1:19">
      <c r="A25" s="96" t="s">
        <v>19</v>
      </c>
      <c r="B25" s="348"/>
      <c r="C25" s="632">
        <f>SUM(C12:C24)</f>
        <v>1562.3999999999996</v>
      </c>
      <c r="D25" s="632">
        <f t="shared" ref="D25:H25" si="1">SUM(D12:D24)</f>
        <v>640.17599999999993</v>
      </c>
      <c r="E25" s="632">
        <f t="shared" si="1"/>
        <v>451.536</v>
      </c>
      <c r="F25" s="632">
        <f t="shared" si="1"/>
        <v>263.75251199999997</v>
      </c>
      <c r="G25" s="632">
        <f t="shared" si="1"/>
        <v>65.260000000000005</v>
      </c>
      <c r="H25" s="633">
        <f t="shared" si="1"/>
        <v>65.260000000000005</v>
      </c>
      <c r="I25" s="633">
        <f t="shared" ref="I25" si="2">SUM(I12:I24)</f>
        <v>11.718</v>
      </c>
      <c r="J25" s="633">
        <f t="shared" ref="J25" si="3">SUM(J12:J24)</f>
        <v>11.718</v>
      </c>
      <c r="K25" s="633">
        <f t="shared" ref="K25" si="4">SUM(K12:K24)</f>
        <v>5.8770000000000016</v>
      </c>
      <c r="L25" s="633">
        <f t="shared" ref="L25" si="5">SUM(L12:L24)</f>
        <v>5.8770000000000016</v>
      </c>
    </row>
    <row r="26" spans="1:19">
      <c r="A26" s="102"/>
      <c r="B26" s="129"/>
      <c r="C26" s="129"/>
      <c r="D26" s="346"/>
      <c r="E26" s="346"/>
      <c r="F26" s="346"/>
      <c r="G26" s="346"/>
      <c r="H26" s="346"/>
      <c r="I26" s="346"/>
      <c r="J26" s="346"/>
    </row>
    <row r="27" spans="1:19">
      <c r="A27" s="102"/>
      <c r="B27" s="129"/>
      <c r="C27" s="129"/>
      <c r="D27" s="346"/>
      <c r="E27" s="346"/>
      <c r="F27" s="346"/>
      <c r="G27" s="346"/>
      <c r="H27" s="346"/>
      <c r="I27" s="346"/>
      <c r="J27" s="346"/>
    </row>
    <row r="28" spans="1:19">
      <c r="A28" s="102"/>
      <c r="B28" s="129"/>
      <c r="C28" s="129"/>
      <c r="D28" s="346"/>
      <c r="E28" s="346"/>
      <c r="F28" s="346"/>
      <c r="G28" s="346"/>
      <c r="H28" s="346"/>
      <c r="I28" s="346"/>
      <c r="J28" s="346"/>
    </row>
    <row r="29" spans="1:19" ht="15.75" customHeight="1">
      <c r="A29" s="105" t="s">
        <v>12</v>
      </c>
      <c r="B29" s="105"/>
      <c r="C29" s="105"/>
      <c r="D29" s="105"/>
      <c r="E29" s="105"/>
      <c r="F29" s="105"/>
      <c r="G29" s="105"/>
      <c r="I29" s="1170" t="s">
        <v>13</v>
      </c>
      <c r="J29" s="1170"/>
    </row>
    <row r="30" spans="1:19" ht="12.75" customHeight="1">
      <c r="A30" s="1172" t="s">
        <v>685</v>
      </c>
      <c r="B30" s="1172"/>
      <c r="C30" s="1172"/>
      <c r="D30" s="1172"/>
      <c r="E30" s="1172"/>
      <c r="F30" s="1172"/>
      <c r="G30" s="1172"/>
      <c r="H30" s="1172"/>
      <c r="I30" s="1172"/>
      <c r="J30" s="1172"/>
    </row>
    <row r="31" spans="1:19" ht="12.75" customHeight="1">
      <c r="A31" s="349"/>
      <c r="B31" s="349"/>
      <c r="C31" s="349"/>
      <c r="D31" s="349"/>
      <c r="E31" s="349"/>
      <c r="F31" s="349"/>
      <c r="G31" s="349"/>
      <c r="H31" s="1170" t="s">
        <v>90</v>
      </c>
      <c r="I31" s="1170"/>
      <c r="J31" s="1170"/>
      <c r="K31" s="1170"/>
    </row>
    <row r="32" spans="1:19">
      <c r="A32" s="105"/>
      <c r="B32" s="105"/>
      <c r="C32" s="105"/>
      <c r="E32" s="105"/>
      <c r="H32" s="1173" t="s">
        <v>87</v>
      </c>
      <c r="I32" s="1173"/>
      <c r="J32" s="1173"/>
    </row>
    <row r="36" spans="1:10">
      <c r="A36" s="1169"/>
      <c r="B36" s="1169"/>
      <c r="C36" s="1169"/>
      <c r="D36" s="1169"/>
      <c r="E36" s="1169"/>
      <c r="F36" s="1169"/>
      <c r="G36" s="1169"/>
      <c r="H36" s="1169"/>
      <c r="I36" s="1169"/>
      <c r="J36" s="1169"/>
    </row>
    <row r="38" spans="1:10">
      <c r="A38" s="1169"/>
      <c r="B38" s="1169"/>
      <c r="C38" s="1169"/>
      <c r="D38" s="1169"/>
      <c r="E38" s="1169"/>
      <c r="F38" s="1169"/>
      <c r="G38" s="1169"/>
      <c r="H38" s="1169"/>
      <c r="I38" s="1169"/>
      <c r="J38" s="1169"/>
    </row>
  </sheetData>
  <mergeCells count="19">
    <mergeCell ref="E1:I1"/>
    <mergeCell ref="A2:J2"/>
    <mergeCell ref="A3:J3"/>
    <mergeCell ref="A8:B8"/>
    <mergeCell ref="A5:L5"/>
    <mergeCell ref="H8:L8"/>
    <mergeCell ref="A38:J38"/>
    <mergeCell ref="H31:K31"/>
    <mergeCell ref="A9:A10"/>
    <mergeCell ref="B9:B10"/>
    <mergeCell ref="C9:D9"/>
    <mergeCell ref="E9:F9"/>
    <mergeCell ref="G9:H9"/>
    <mergeCell ref="I9:J9"/>
    <mergeCell ref="K9:L9"/>
    <mergeCell ref="I29:J29"/>
    <mergeCell ref="A30:J30"/>
    <mergeCell ref="H32:J32"/>
    <mergeCell ref="A36:J36"/>
  </mergeCells>
  <printOptions horizontalCentered="1"/>
  <pageMargins left="0.70866141732283472" right="0.70866141732283472" top="0.23622047244094491" bottom="0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7"/>
  <sheetViews>
    <sheetView view="pageBreakPreview" topLeftCell="A13" zoomScale="85" zoomScaleSheetLayoutView="85" workbookViewId="0">
      <selection activeCell="G12" sqref="G12"/>
    </sheetView>
  </sheetViews>
  <sheetFormatPr defaultRowHeight="12.75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>
      <c r="D1" s="851"/>
      <c r="E1" s="851"/>
      <c r="F1" s="851"/>
      <c r="G1" s="851"/>
      <c r="H1" s="851"/>
      <c r="I1" s="851"/>
      <c r="L1" s="926" t="s">
        <v>92</v>
      </c>
      <c r="M1" s="926"/>
    </row>
    <row r="2" spans="1:19" ht="15.75">
      <c r="A2" s="847" t="s">
        <v>0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</row>
    <row r="3" spans="1:19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</row>
    <row r="4" spans="1:19" ht="11.25" customHeight="1"/>
    <row r="5" spans="1:19" ht="15.75">
      <c r="A5" s="847" t="s">
        <v>747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</row>
    <row r="7" spans="1:19">
      <c r="A7" s="850" t="s">
        <v>922</v>
      </c>
      <c r="B7" s="850"/>
      <c r="K7" s="120"/>
    </row>
    <row r="8" spans="1:19">
      <c r="A8" s="32"/>
      <c r="B8" s="32"/>
      <c r="K8" s="107"/>
      <c r="L8" s="923" t="s">
        <v>784</v>
      </c>
      <c r="M8" s="923"/>
      <c r="N8" s="923"/>
    </row>
    <row r="9" spans="1:19" ht="15.75" customHeight="1">
      <c r="A9" s="924" t="s">
        <v>2</v>
      </c>
      <c r="B9" s="924" t="s">
        <v>3</v>
      </c>
      <c r="C9" s="827" t="s">
        <v>4</v>
      </c>
      <c r="D9" s="827"/>
      <c r="E9" s="827"/>
      <c r="F9" s="825"/>
      <c r="G9" s="931"/>
      <c r="H9" s="856" t="s">
        <v>107</v>
      </c>
      <c r="I9" s="856"/>
      <c r="J9" s="856"/>
      <c r="K9" s="856"/>
      <c r="L9" s="856"/>
      <c r="M9" s="924" t="s">
        <v>137</v>
      </c>
      <c r="N9" s="844" t="s">
        <v>138</v>
      </c>
    </row>
    <row r="10" spans="1:19" ht="38.25">
      <c r="A10" s="925"/>
      <c r="B10" s="925"/>
      <c r="C10" s="5" t="s">
        <v>5</v>
      </c>
      <c r="D10" s="5" t="s">
        <v>6</v>
      </c>
      <c r="E10" s="5" t="s">
        <v>361</v>
      </c>
      <c r="F10" s="7" t="s">
        <v>105</v>
      </c>
      <c r="G10" s="6" t="s">
        <v>362</v>
      </c>
      <c r="H10" s="5" t="s">
        <v>5</v>
      </c>
      <c r="I10" s="5" t="s">
        <v>6</v>
      </c>
      <c r="J10" s="5" t="s">
        <v>361</v>
      </c>
      <c r="K10" s="7" t="s">
        <v>105</v>
      </c>
      <c r="L10" s="7" t="s">
        <v>363</v>
      </c>
      <c r="M10" s="925"/>
      <c r="N10" s="844"/>
      <c r="R10" s="12"/>
      <c r="S10" s="12"/>
    </row>
    <row r="11" spans="1:19" s="14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9" ht="15.75">
      <c r="A12" s="392">
        <v>1</v>
      </c>
      <c r="B12" s="393" t="s">
        <v>889</v>
      </c>
      <c r="C12" s="394">
        <v>679</v>
      </c>
      <c r="D12" s="394">
        <v>0</v>
      </c>
      <c r="E12" s="394">
        <v>0</v>
      </c>
      <c r="F12" s="395">
        <v>47</v>
      </c>
      <c r="G12" s="396">
        <f>SUM(C12:F12)</f>
        <v>726</v>
      </c>
      <c r="H12" s="394">
        <v>679</v>
      </c>
      <c r="I12" s="394">
        <v>0</v>
      </c>
      <c r="J12" s="394">
        <v>0</v>
      </c>
      <c r="K12" s="395">
        <v>47</v>
      </c>
      <c r="L12" s="396">
        <f>SUM(H12:K12)</f>
        <v>726</v>
      </c>
      <c r="M12" s="401">
        <f>G12-L12</f>
        <v>0</v>
      </c>
      <c r="N12" s="397"/>
    </row>
    <row r="13" spans="1:19" ht="15.75">
      <c r="A13" s="392">
        <v>2</v>
      </c>
      <c r="B13" s="393" t="s">
        <v>890</v>
      </c>
      <c r="C13" s="394">
        <v>1002</v>
      </c>
      <c r="D13" s="394">
        <v>0</v>
      </c>
      <c r="E13" s="394">
        <v>0</v>
      </c>
      <c r="F13" s="395">
        <v>72</v>
      </c>
      <c r="G13" s="396">
        <f t="shared" ref="G13:G44" si="0">SUM(C13:F13)</f>
        <v>1074</v>
      </c>
      <c r="H13" s="394">
        <v>1002</v>
      </c>
      <c r="I13" s="394">
        <v>0</v>
      </c>
      <c r="J13" s="394">
        <v>0</v>
      </c>
      <c r="K13" s="395">
        <v>72</v>
      </c>
      <c r="L13" s="396">
        <f t="shared" ref="L13:L44" si="1">SUM(H13:K13)</f>
        <v>1074</v>
      </c>
      <c r="M13" s="401">
        <f t="shared" ref="M13:M45" si="2">G13-L13</f>
        <v>0</v>
      </c>
      <c r="N13" s="397"/>
    </row>
    <row r="14" spans="1:19" ht="15.75">
      <c r="A14" s="392">
        <v>3</v>
      </c>
      <c r="B14" s="393" t="s">
        <v>891</v>
      </c>
      <c r="C14" s="394">
        <v>1555</v>
      </c>
      <c r="D14" s="394">
        <v>0</v>
      </c>
      <c r="E14" s="394">
        <v>155</v>
      </c>
      <c r="F14" s="395">
        <v>12</v>
      </c>
      <c r="G14" s="396">
        <f t="shared" si="0"/>
        <v>1722</v>
      </c>
      <c r="H14" s="394">
        <v>1555</v>
      </c>
      <c r="I14" s="394">
        <v>0</v>
      </c>
      <c r="J14" s="394">
        <v>155</v>
      </c>
      <c r="K14" s="395">
        <v>12</v>
      </c>
      <c r="L14" s="396">
        <f t="shared" si="1"/>
        <v>1722</v>
      </c>
      <c r="M14" s="401">
        <f t="shared" si="2"/>
        <v>0</v>
      </c>
      <c r="N14" s="397"/>
    </row>
    <row r="15" spans="1:19" ht="15.75">
      <c r="A15" s="392">
        <v>4</v>
      </c>
      <c r="B15" s="393" t="s">
        <v>892</v>
      </c>
      <c r="C15" s="394">
        <v>550</v>
      </c>
      <c r="D15" s="394">
        <v>0</v>
      </c>
      <c r="E15" s="394">
        <v>0</v>
      </c>
      <c r="F15" s="395">
        <v>63</v>
      </c>
      <c r="G15" s="396">
        <f t="shared" si="0"/>
        <v>613</v>
      </c>
      <c r="H15" s="394">
        <v>550</v>
      </c>
      <c r="I15" s="394">
        <v>0</v>
      </c>
      <c r="J15" s="394">
        <v>0</v>
      </c>
      <c r="K15" s="395">
        <v>63</v>
      </c>
      <c r="L15" s="396">
        <f t="shared" si="1"/>
        <v>613</v>
      </c>
      <c r="M15" s="401">
        <f t="shared" si="2"/>
        <v>0</v>
      </c>
      <c r="N15" s="397"/>
    </row>
    <row r="16" spans="1:19" ht="15.75">
      <c r="A16" s="392">
        <v>5</v>
      </c>
      <c r="B16" s="393" t="s">
        <v>893</v>
      </c>
      <c r="C16" s="394">
        <v>2851</v>
      </c>
      <c r="D16" s="394">
        <v>0</v>
      </c>
      <c r="E16" s="394">
        <v>0</v>
      </c>
      <c r="F16" s="395">
        <v>198</v>
      </c>
      <c r="G16" s="396">
        <f t="shared" si="0"/>
        <v>3049</v>
      </c>
      <c r="H16" s="394">
        <v>2851</v>
      </c>
      <c r="I16" s="394">
        <v>0</v>
      </c>
      <c r="J16" s="394">
        <v>0</v>
      </c>
      <c r="K16" s="395">
        <v>198</v>
      </c>
      <c r="L16" s="396">
        <f t="shared" si="1"/>
        <v>3049</v>
      </c>
      <c r="M16" s="401">
        <f t="shared" si="2"/>
        <v>0</v>
      </c>
      <c r="N16" s="397"/>
    </row>
    <row r="17" spans="1:14" ht="15.75">
      <c r="A17" s="392">
        <v>6</v>
      </c>
      <c r="B17" s="393" t="s">
        <v>894</v>
      </c>
      <c r="C17" s="394">
        <v>604</v>
      </c>
      <c r="D17" s="394">
        <v>0</v>
      </c>
      <c r="E17" s="394">
        <v>0</v>
      </c>
      <c r="F17" s="395">
        <v>35</v>
      </c>
      <c r="G17" s="396">
        <f t="shared" si="0"/>
        <v>639</v>
      </c>
      <c r="H17" s="394">
        <v>604</v>
      </c>
      <c r="I17" s="394">
        <v>0</v>
      </c>
      <c r="J17" s="394">
        <v>0</v>
      </c>
      <c r="K17" s="395">
        <v>35</v>
      </c>
      <c r="L17" s="396">
        <f t="shared" si="1"/>
        <v>639</v>
      </c>
      <c r="M17" s="401">
        <f t="shared" si="2"/>
        <v>0</v>
      </c>
      <c r="N17" s="397"/>
    </row>
    <row r="18" spans="1:14" ht="15.75">
      <c r="A18" s="392">
        <v>7</v>
      </c>
      <c r="B18" s="393" t="s">
        <v>895</v>
      </c>
      <c r="C18" s="394">
        <v>1366</v>
      </c>
      <c r="D18" s="394">
        <v>0</v>
      </c>
      <c r="E18" s="394">
        <v>0</v>
      </c>
      <c r="F18" s="395">
        <v>49</v>
      </c>
      <c r="G18" s="396">
        <f t="shared" si="0"/>
        <v>1415</v>
      </c>
      <c r="H18" s="394">
        <v>1366</v>
      </c>
      <c r="I18" s="394">
        <v>0</v>
      </c>
      <c r="J18" s="394">
        <v>0</v>
      </c>
      <c r="K18" s="395">
        <v>49</v>
      </c>
      <c r="L18" s="396">
        <f t="shared" si="1"/>
        <v>1415</v>
      </c>
      <c r="M18" s="401">
        <f t="shared" si="2"/>
        <v>0</v>
      </c>
      <c r="N18" s="397"/>
    </row>
    <row r="19" spans="1:14" ht="15.75">
      <c r="A19" s="392">
        <v>8</v>
      </c>
      <c r="B19" s="393" t="s">
        <v>896</v>
      </c>
      <c r="C19" s="394">
        <v>1096</v>
      </c>
      <c r="D19" s="394">
        <v>0</v>
      </c>
      <c r="E19" s="394">
        <v>0</v>
      </c>
      <c r="F19" s="395">
        <v>14</v>
      </c>
      <c r="G19" s="396">
        <f t="shared" si="0"/>
        <v>1110</v>
      </c>
      <c r="H19" s="394">
        <v>1096</v>
      </c>
      <c r="I19" s="394">
        <v>0</v>
      </c>
      <c r="J19" s="394">
        <v>0</v>
      </c>
      <c r="K19" s="395">
        <v>14</v>
      </c>
      <c r="L19" s="396">
        <f t="shared" si="1"/>
        <v>1110</v>
      </c>
      <c r="M19" s="401">
        <f t="shared" si="2"/>
        <v>0</v>
      </c>
      <c r="N19" s="397"/>
    </row>
    <row r="20" spans="1:14" ht="15.75">
      <c r="A20" s="392">
        <v>9</v>
      </c>
      <c r="B20" s="393" t="s">
        <v>897</v>
      </c>
      <c r="C20" s="394">
        <v>599</v>
      </c>
      <c r="D20" s="394">
        <v>0</v>
      </c>
      <c r="E20" s="394">
        <v>0</v>
      </c>
      <c r="F20" s="395">
        <v>41</v>
      </c>
      <c r="G20" s="396">
        <f t="shared" si="0"/>
        <v>640</v>
      </c>
      <c r="H20" s="394">
        <v>599</v>
      </c>
      <c r="I20" s="394">
        <v>0</v>
      </c>
      <c r="J20" s="394">
        <v>0</v>
      </c>
      <c r="K20" s="395">
        <v>41</v>
      </c>
      <c r="L20" s="396">
        <f t="shared" si="1"/>
        <v>640</v>
      </c>
      <c r="M20" s="401">
        <f t="shared" si="2"/>
        <v>0</v>
      </c>
      <c r="N20" s="397"/>
    </row>
    <row r="21" spans="1:14" ht="15.75">
      <c r="A21" s="392">
        <v>10</v>
      </c>
      <c r="B21" s="393" t="s">
        <v>898</v>
      </c>
      <c r="C21" s="394">
        <v>773</v>
      </c>
      <c r="D21" s="394">
        <v>0</v>
      </c>
      <c r="E21" s="394">
        <v>0</v>
      </c>
      <c r="F21" s="395">
        <v>14</v>
      </c>
      <c r="G21" s="396">
        <f t="shared" si="0"/>
        <v>787</v>
      </c>
      <c r="H21" s="394">
        <v>773</v>
      </c>
      <c r="I21" s="394">
        <v>0</v>
      </c>
      <c r="J21" s="394">
        <v>0</v>
      </c>
      <c r="K21" s="395">
        <v>14</v>
      </c>
      <c r="L21" s="396">
        <f t="shared" si="1"/>
        <v>787</v>
      </c>
      <c r="M21" s="401">
        <f t="shared" si="2"/>
        <v>0</v>
      </c>
      <c r="N21" s="397"/>
    </row>
    <row r="22" spans="1:14" ht="15.75">
      <c r="A22" s="392">
        <v>11</v>
      </c>
      <c r="B22" s="393" t="s">
        <v>899</v>
      </c>
      <c r="C22" s="394">
        <v>366</v>
      </c>
      <c r="D22" s="394">
        <v>0</v>
      </c>
      <c r="E22" s="394">
        <v>0</v>
      </c>
      <c r="F22" s="395">
        <v>24</v>
      </c>
      <c r="G22" s="396">
        <f t="shared" si="0"/>
        <v>390</v>
      </c>
      <c r="H22" s="394">
        <v>366</v>
      </c>
      <c r="I22" s="394">
        <v>0</v>
      </c>
      <c r="J22" s="394">
        <v>0</v>
      </c>
      <c r="K22" s="395">
        <v>24</v>
      </c>
      <c r="L22" s="396">
        <f t="shared" si="1"/>
        <v>390</v>
      </c>
      <c r="M22" s="401">
        <f t="shared" si="2"/>
        <v>0</v>
      </c>
      <c r="N22" s="397"/>
    </row>
    <row r="23" spans="1:14" ht="15.75">
      <c r="A23" s="392">
        <v>12</v>
      </c>
      <c r="B23" s="393" t="s">
        <v>900</v>
      </c>
      <c r="C23" s="394">
        <v>672</v>
      </c>
      <c r="D23" s="394">
        <v>0</v>
      </c>
      <c r="E23" s="394">
        <v>0</v>
      </c>
      <c r="F23" s="395">
        <v>34</v>
      </c>
      <c r="G23" s="396">
        <f t="shared" si="0"/>
        <v>706</v>
      </c>
      <c r="H23" s="394">
        <v>672</v>
      </c>
      <c r="I23" s="394">
        <v>0</v>
      </c>
      <c r="J23" s="394">
        <v>0</v>
      </c>
      <c r="K23" s="395">
        <v>34</v>
      </c>
      <c r="L23" s="396">
        <f t="shared" si="1"/>
        <v>706</v>
      </c>
      <c r="M23" s="401">
        <f t="shared" si="2"/>
        <v>0</v>
      </c>
      <c r="N23" s="397"/>
    </row>
    <row r="24" spans="1:14" ht="15.75">
      <c r="A24" s="392">
        <v>13</v>
      </c>
      <c r="B24" s="393" t="s">
        <v>901</v>
      </c>
      <c r="C24" s="394">
        <v>537</v>
      </c>
      <c r="D24" s="394">
        <v>0</v>
      </c>
      <c r="E24" s="394">
        <v>0</v>
      </c>
      <c r="F24" s="395">
        <v>34</v>
      </c>
      <c r="G24" s="396">
        <f t="shared" si="0"/>
        <v>571</v>
      </c>
      <c r="H24" s="394">
        <v>537</v>
      </c>
      <c r="I24" s="394">
        <v>0</v>
      </c>
      <c r="J24" s="394">
        <v>0</v>
      </c>
      <c r="K24" s="395">
        <v>34</v>
      </c>
      <c r="L24" s="396">
        <f t="shared" si="1"/>
        <v>571</v>
      </c>
      <c r="M24" s="401">
        <f t="shared" si="2"/>
        <v>0</v>
      </c>
      <c r="N24" s="397"/>
    </row>
    <row r="25" spans="1:14" ht="15.75">
      <c r="A25" s="392">
        <v>14</v>
      </c>
      <c r="B25" s="393" t="s">
        <v>902</v>
      </c>
      <c r="C25" s="394">
        <v>1426</v>
      </c>
      <c r="D25" s="394">
        <v>0</v>
      </c>
      <c r="E25" s="394">
        <v>0</v>
      </c>
      <c r="F25" s="395">
        <v>4</v>
      </c>
      <c r="G25" s="396">
        <f t="shared" si="0"/>
        <v>1430</v>
      </c>
      <c r="H25" s="394">
        <v>1426</v>
      </c>
      <c r="I25" s="394">
        <v>0</v>
      </c>
      <c r="J25" s="394">
        <v>0</v>
      </c>
      <c r="K25" s="395">
        <v>4</v>
      </c>
      <c r="L25" s="396">
        <f t="shared" si="1"/>
        <v>1430</v>
      </c>
      <c r="M25" s="401">
        <f t="shared" si="2"/>
        <v>0</v>
      </c>
      <c r="N25" s="397"/>
    </row>
    <row r="26" spans="1:14" ht="15.75">
      <c r="A26" s="392">
        <v>15</v>
      </c>
      <c r="B26" s="393" t="s">
        <v>903</v>
      </c>
      <c r="C26" s="394">
        <v>879</v>
      </c>
      <c r="D26" s="394">
        <v>0</v>
      </c>
      <c r="E26" s="394">
        <v>0</v>
      </c>
      <c r="F26" s="395">
        <v>1</v>
      </c>
      <c r="G26" s="396">
        <f t="shared" si="0"/>
        <v>880</v>
      </c>
      <c r="H26" s="394">
        <v>879</v>
      </c>
      <c r="I26" s="394">
        <v>0</v>
      </c>
      <c r="J26" s="394">
        <v>0</v>
      </c>
      <c r="K26" s="395">
        <v>1</v>
      </c>
      <c r="L26" s="396">
        <f t="shared" si="1"/>
        <v>880</v>
      </c>
      <c r="M26" s="401">
        <f t="shared" si="2"/>
        <v>0</v>
      </c>
      <c r="N26" s="397"/>
    </row>
    <row r="27" spans="1:14" ht="15.75">
      <c r="A27" s="392">
        <v>16</v>
      </c>
      <c r="B27" s="393" t="s">
        <v>904</v>
      </c>
      <c r="C27" s="394">
        <v>311</v>
      </c>
      <c r="D27" s="394">
        <v>0</v>
      </c>
      <c r="E27" s="394">
        <v>0</v>
      </c>
      <c r="F27" s="395">
        <v>16</v>
      </c>
      <c r="G27" s="396">
        <f t="shared" si="0"/>
        <v>327</v>
      </c>
      <c r="H27" s="394">
        <v>311</v>
      </c>
      <c r="I27" s="394">
        <v>0</v>
      </c>
      <c r="J27" s="394">
        <v>0</v>
      </c>
      <c r="K27" s="395">
        <v>16</v>
      </c>
      <c r="L27" s="396">
        <f t="shared" si="1"/>
        <v>327</v>
      </c>
      <c r="M27" s="401">
        <f t="shared" si="2"/>
        <v>0</v>
      </c>
      <c r="N27" s="397"/>
    </row>
    <row r="28" spans="1:14" ht="15.75">
      <c r="A28" s="392">
        <v>17</v>
      </c>
      <c r="B28" s="393" t="s">
        <v>905</v>
      </c>
      <c r="C28" s="394">
        <v>1422</v>
      </c>
      <c r="D28" s="394">
        <v>0</v>
      </c>
      <c r="E28" s="394">
        <v>0</v>
      </c>
      <c r="F28" s="395">
        <v>62</v>
      </c>
      <c r="G28" s="396">
        <f t="shared" si="0"/>
        <v>1484</v>
      </c>
      <c r="H28" s="394">
        <v>1422</v>
      </c>
      <c r="I28" s="394">
        <v>0</v>
      </c>
      <c r="J28" s="394">
        <v>0</v>
      </c>
      <c r="K28" s="395">
        <v>62</v>
      </c>
      <c r="L28" s="396">
        <f t="shared" si="1"/>
        <v>1484</v>
      </c>
      <c r="M28" s="401">
        <f t="shared" si="2"/>
        <v>0</v>
      </c>
      <c r="N28" s="397"/>
    </row>
    <row r="29" spans="1:14" ht="15.75">
      <c r="A29" s="392">
        <v>18</v>
      </c>
      <c r="B29" s="393" t="s">
        <v>906</v>
      </c>
      <c r="C29" s="394">
        <v>728</v>
      </c>
      <c r="D29" s="394">
        <v>0</v>
      </c>
      <c r="E29" s="394">
        <v>0</v>
      </c>
      <c r="F29" s="395">
        <v>80</v>
      </c>
      <c r="G29" s="396">
        <f t="shared" si="0"/>
        <v>808</v>
      </c>
      <c r="H29" s="394">
        <v>728</v>
      </c>
      <c r="I29" s="394">
        <v>0</v>
      </c>
      <c r="J29" s="394">
        <v>0</v>
      </c>
      <c r="K29" s="395">
        <v>80</v>
      </c>
      <c r="L29" s="396">
        <f t="shared" si="1"/>
        <v>808</v>
      </c>
      <c r="M29" s="401">
        <f t="shared" si="2"/>
        <v>0</v>
      </c>
      <c r="N29" s="397"/>
    </row>
    <row r="30" spans="1:14" ht="15.75">
      <c r="A30" s="392">
        <v>19</v>
      </c>
      <c r="B30" s="393" t="s">
        <v>907</v>
      </c>
      <c r="C30" s="394">
        <v>969</v>
      </c>
      <c r="D30" s="394">
        <v>0</v>
      </c>
      <c r="E30" s="394">
        <v>0</v>
      </c>
      <c r="F30" s="395">
        <v>17</v>
      </c>
      <c r="G30" s="396">
        <f t="shared" si="0"/>
        <v>986</v>
      </c>
      <c r="H30" s="394">
        <v>969</v>
      </c>
      <c r="I30" s="394">
        <v>0</v>
      </c>
      <c r="J30" s="394">
        <v>0</v>
      </c>
      <c r="K30" s="395">
        <v>17</v>
      </c>
      <c r="L30" s="396">
        <f t="shared" si="1"/>
        <v>986</v>
      </c>
      <c r="M30" s="401">
        <f t="shared" si="2"/>
        <v>0</v>
      </c>
      <c r="N30" s="397"/>
    </row>
    <row r="31" spans="1:14" ht="15.75">
      <c r="A31" s="392">
        <v>20</v>
      </c>
      <c r="B31" s="393" t="s">
        <v>908</v>
      </c>
      <c r="C31" s="394">
        <v>767</v>
      </c>
      <c r="D31" s="394">
        <v>0</v>
      </c>
      <c r="E31" s="394">
        <v>0</v>
      </c>
      <c r="F31" s="395">
        <v>51</v>
      </c>
      <c r="G31" s="396">
        <f t="shared" si="0"/>
        <v>818</v>
      </c>
      <c r="H31" s="394">
        <v>767</v>
      </c>
      <c r="I31" s="394">
        <v>0</v>
      </c>
      <c r="J31" s="394">
        <v>0</v>
      </c>
      <c r="K31" s="395">
        <v>51</v>
      </c>
      <c r="L31" s="396">
        <f t="shared" si="1"/>
        <v>818</v>
      </c>
      <c r="M31" s="401">
        <f t="shared" si="2"/>
        <v>0</v>
      </c>
      <c r="N31" s="397"/>
    </row>
    <row r="32" spans="1:14" ht="15.75">
      <c r="A32" s="392">
        <v>21</v>
      </c>
      <c r="B32" s="393" t="s">
        <v>909</v>
      </c>
      <c r="C32" s="394">
        <v>484</v>
      </c>
      <c r="D32" s="394">
        <v>0</v>
      </c>
      <c r="E32" s="394">
        <v>0</v>
      </c>
      <c r="F32" s="395">
        <v>21</v>
      </c>
      <c r="G32" s="396">
        <f t="shared" si="0"/>
        <v>505</v>
      </c>
      <c r="H32" s="394">
        <v>484</v>
      </c>
      <c r="I32" s="394">
        <v>0</v>
      </c>
      <c r="J32" s="394">
        <v>0</v>
      </c>
      <c r="K32" s="395">
        <v>21</v>
      </c>
      <c r="L32" s="396">
        <f t="shared" si="1"/>
        <v>505</v>
      </c>
      <c r="M32" s="401">
        <f t="shared" si="2"/>
        <v>0</v>
      </c>
      <c r="N32" s="397"/>
    </row>
    <row r="33" spans="1:15" ht="15.75">
      <c r="A33" s="392">
        <v>22</v>
      </c>
      <c r="B33" s="393" t="s">
        <v>910</v>
      </c>
      <c r="C33" s="394">
        <v>1958</v>
      </c>
      <c r="D33" s="394">
        <v>0</v>
      </c>
      <c r="E33" s="394">
        <v>0</v>
      </c>
      <c r="F33" s="395">
        <v>51</v>
      </c>
      <c r="G33" s="396">
        <f t="shared" si="0"/>
        <v>2009</v>
      </c>
      <c r="H33" s="394">
        <v>1958</v>
      </c>
      <c r="I33" s="394">
        <v>0</v>
      </c>
      <c r="J33" s="394">
        <v>0</v>
      </c>
      <c r="K33" s="395">
        <v>51</v>
      </c>
      <c r="L33" s="396">
        <f t="shared" si="1"/>
        <v>2009</v>
      </c>
      <c r="M33" s="401">
        <f t="shared" si="2"/>
        <v>0</v>
      </c>
      <c r="N33" s="397"/>
    </row>
    <row r="34" spans="1:15" ht="15.75">
      <c r="A34" s="392">
        <v>23</v>
      </c>
      <c r="B34" s="393" t="s">
        <v>911</v>
      </c>
      <c r="C34" s="394">
        <v>681</v>
      </c>
      <c r="D34" s="394">
        <v>0</v>
      </c>
      <c r="E34" s="394">
        <v>0</v>
      </c>
      <c r="F34" s="395">
        <v>34</v>
      </c>
      <c r="G34" s="396">
        <f t="shared" si="0"/>
        <v>715</v>
      </c>
      <c r="H34" s="394">
        <v>681</v>
      </c>
      <c r="I34" s="394">
        <v>0</v>
      </c>
      <c r="J34" s="394">
        <v>0</v>
      </c>
      <c r="K34" s="395">
        <v>34</v>
      </c>
      <c r="L34" s="396">
        <f t="shared" si="1"/>
        <v>715</v>
      </c>
      <c r="M34" s="401">
        <f t="shared" si="2"/>
        <v>0</v>
      </c>
      <c r="N34" s="397"/>
    </row>
    <row r="35" spans="1:15" ht="15.75">
      <c r="A35" s="392">
        <v>24</v>
      </c>
      <c r="B35" s="393" t="s">
        <v>912</v>
      </c>
      <c r="C35" s="394">
        <v>367</v>
      </c>
      <c r="D35" s="394">
        <v>0</v>
      </c>
      <c r="E35" s="394">
        <v>0</v>
      </c>
      <c r="F35" s="395">
        <v>61</v>
      </c>
      <c r="G35" s="396">
        <f t="shared" si="0"/>
        <v>428</v>
      </c>
      <c r="H35" s="394">
        <v>367</v>
      </c>
      <c r="I35" s="394">
        <v>0</v>
      </c>
      <c r="J35" s="394">
        <v>0</v>
      </c>
      <c r="K35" s="395">
        <v>61</v>
      </c>
      <c r="L35" s="396">
        <f t="shared" si="1"/>
        <v>428</v>
      </c>
      <c r="M35" s="401">
        <f t="shared" si="2"/>
        <v>0</v>
      </c>
      <c r="N35" s="397"/>
    </row>
    <row r="36" spans="1:15" ht="15.75">
      <c r="A36" s="392">
        <v>25</v>
      </c>
      <c r="B36" s="393" t="s">
        <v>913</v>
      </c>
      <c r="C36" s="394">
        <v>1293</v>
      </c>
      <c r="D36" s="394">
        <v>0</v>
      </c>
      <c r="E36" s="394">
        <v>0</v>
      </c>
      <c r="F36" s="395">
        <v>116</v>
      </c>
      <c r="G36" s="396">
        <f t="shared" si="0"/>
        <v>1409</v>
      </c>
      <c r="H36" s="394">
        <v>1293</v>
      </c>
      <c r="I36" s="394">
        <v>0</v>
      </c>
      <c r="J36" s="394">
        <v>0</v>
      </c>
      <c r="K36" s="395">
        <v>116</v>
      </c>
      <c r="L36" s="396">
        <f t="shared" si="1"/>
        <v>1409</v>
      </c>
      <c r="M36" s="401">
        <f t="shared" si="2"/>
        <v>0</v>
      </c>
      <c r="N36" s="397"/>
    </row>
    <row r="37" spans="1:15" ht="15.75">
      <c r="A37" s="392">
        <v>26</v>
      </c>
      <c r="B37" s="393" t="s">
        <v>914</v>
      </c>
      <c r="C37" s="394">
        <v>573</v>
      </c>
      <c r="D37" s="394">
        <v>0</v>
      </c>
      <c r="E37" s="394">
        <v>0</v>
      </c>
      <c r="F37" s="395">
        <v>31</v>
      </c>
      <c r="G37" s="396">
        <f t="shared" si="0"/>
        <v>604</v>
      </c>
      <c r="H37" s="394">
        <v>573</v>
      </c>
      <c r="I37" s="394">
        <v>0</v>
      </c>
      <c r="J37" s="394">
        <v>0</v>
      </c>
      <c r="K37" s="395">
        <v>31</v>
      </c>
      <c r="L37" s="396">
        <f t="shared" si="1"/>
        <v>604</v>
      </c>
      <c r="M37" s="401">
        <f t="shared" si="2"/>
        <v>0</v>
      </c>
      <c r="N37" s="397"/>
    </row>
    <row r="38" spans="1:15" ht="15.75">
      <c r="A38" s="392">
        <v>27</v>
      </c>
      <c r="B38" s="393" t="s">
        <v>915</v>
      </c>
      <c r="C38" s="394">
        <v>833</v>
      </c>
      <c r="D38" s="394">
        <v>0</v>
      </c>
      <c r="E38" s="394">
        <v>0</v>
      </c>
      <c r="F38" s="395">
        <v>8</v>
      </c>
      <c r="G38" s="396">
        <f t="shared" si="0"/>
        <v>841</v>
      </c>
      <c r="H38" s="394">
        <v>833</v>
      </c>
      <c r="I38" s="394">
        <v>0</v>
      </c>
      <c r="J38" s="394">
        <v>0</v>
      </c>
      <c r="K38" s="395">
        <v>8</v>
      </c>
      <c r="L38" s="396">
        <f t="shared" si="1"/>
        <v>841</v>
      </c>
      <c r="M38" s="401">
        <f t="shared" si="2"/>
        <v>0</v>
      </c>
      <c r="N38" s="397"/>
    </row>
    <row r="39" spans="1:15" ht="15.75">
      <c r="A39" s="392">
        <v>28</v>
      </c>
      <c r="B39" s="393" t="s">
        <v>916</v>
      </c>
      <c r="C39" s="394">
        <v>842</v>
      </c>
      <c r="D39" s="394">
        <v>0</v>
      </c>
      <c r="E39" s="394">
        <v>0</v>
      </c>
      <c r="F39" s="395">
        <v>7</v>
      </c>
      <c r="G39" s="396">
        <f t="shared" si="0"/>
        <v>849</v>
      </c>
      <c r="H39" s="394">
        <v>842</v>
      </c>
      <c r="I39" s="394">
        <v>0</v>
      </c>
      <c r="J39" s="394">
        <v>0</v>
      </c>
      <c r="K39" s="395">
        <v>7</v>
      </c>
      <c r="L39" s="396">
        <f t="shared" si="1"/>
        <v>849</v>
      </c>
      <c r="M39" s="401">
        <f t="shared" si="2"/>
        <v>0</v>
      </c>
      <c r="N39" s="397"/>
    </row>
    <row r="40" spans="1:15" ht="15.75">
      <c r="A40" s="392">
        <v>29</v>
      </c>
      <c r="B40" s="393" t="s">
        <v>917</v>
      </c>
      <c r="C40" s="394">
        <v>450</v>
      </c>
      <c r="D40" s="394">
        <v>0</v>
      </c>
      <c r="E40" s="394">
        <v>0</v>
      </c>
      <c r="F40" s="395">
        <v>59</v>
      </c>
      <c r="G40" s="396">
        <f t="shared" si="0"/>
        <v>509</v>
      </c>
      <c r="H40" s="394">
        <v>450</v>
      </c>
      <c r="I40" s="394">
        <v>0</v>
      </c>
      <c r="J40" s="394">
        <v>0</v>
      </c>
      <c r="K40" s="395">
        <v>59</v>
      </c>
      <c r="L40" s="396">
        <f t="shared" si="1"/>
        <v>509</v>
      </c>
      <c r="M40" s="401">
        <f t="shared" si="2"/>
        <v>0</v>
      </c>
      <c r="N40" s="397"/>
    </row>
    <row r="41" spans="1:15" ht="15.75">
      <c r="A41" s="392">
        <v>30</v>
      </c>
      <c r="B41" s="393" t="s">
        <v>918</v>
      </c>
      <c r="C41" s="394">
        <v>608</v>
      </c>
      <c r="D41" s="394">
        <v>0</v>
      </c>
      <c r="E41" s="394">
        <v>0</v>
      </c>
      <c r="F41" s="395">
        <v>9</v>
      </c>
      <c r="G41" s="396">
        <f t="shared" si="0"/>
        <v>617</v>
      </c>
      <c r="H41" s="394">
        <v>608</v>
      </c>
      <c r="I41" s="394">
        <v>0</v>
      </c>
      <c r="J41" s="394">
        <v>0</v>
      </c>
      <c r="K41" s="395">
        <v>9</v>
      </c>
      <c r="L41" s="396">
        <f t="shared" si="1"/>
        <v>617</v>
      </c>
      <c r="M41" s="401">
        <f t="shared" si="2"/>
        <v>0</v>
      </c>
      <c r="N41" s="397"/>
    </row>
    <row r="42" spans="1:15" ht="15.75">
      <c r="A42" s="392">
        <v>31</v>
      </c>
      <c r="B42" s="393" t="s">
        <v>919</v>
      </c>
      <c r="C42" s="394">
        <v>459</v>
      </c>
      <c r="D42" s="394">
        <v>0</v>
      </c>
      <c r="E42" s="394">
        <v>0</v>
      </c>
      <c r="F42" s="395">
        <v>7</v>
      </c>
      <c r="G42" s="396">
        <f t="shared" si="0"/>
        <v>466</v>
      </c>
      <c r="H42" s="394">
        <v>459</v>
      </c>
      <c r="I42" s="394">
        <v>0</v>
      </c>
      <c r="J42" s="394">
        <v>0</v>
      </c>
      <c r="K42" s="395">
        <v>7</v>
      </c>
      <c r="L42" s="396">
        <f t="shared" si="1"/>
        <v>466</v>
      </c>
      <c r="M42" s="401">
        <f t="shared" si="2"/>
        <v>0</v>
      </c>
      <c r="N42" s="397"/>
    </row>
    <row r="43" spans="1:15" ht="15.75">
      <c r="A43" s="392">
        <v>32</v>
      </c>
      <c r="B43" s="393" t="s">
        <v>920</v>
      </c>
      <c r="C43" s="394">
        <v>606</v>
      </c>
      <c r="D43" s="394">
        <v>0</v>
      </c>
      <c r="E43" s="394">
        <v>0</v>
      </c>
      <c r="F43" s="395">
        <v>124</v>
      </c>
      <c r="G43" s="396">
        <f t="shared" si="0"/>
        <v>730</v>
      </c>
      <c r="H43" s="394">
        <v>606</v>
      </c>
      <c r="I43" s="394">
        <v>0</v>
      </c>
      <c r="J43" s="394">
        <v>0</v>
      </c>
      <c r="K43" s="395">
        <v>124</v>
      </c>
      <c r="L43" s="396">
        <f t="shared" si="1"/>
        <v>730</v>
      </c>
      <c r="M43" s="401">
        <f t="shared" si="2"/>
        <v>0</v>
      </c>
      <c r="N43" s="397"/>
    </row>
    <row r="44" spans="1:15" ht="15.75">
      <c r="A44" s="392">
        <v>33</v>
      </c>
      <c r="B44" s="393" t="s">
        <v>921</v>
      </c>
      <c r="C44" s="394">
        <v>2121</v>
      </c>
      <c r="D44" s="394">
        <v>0</v>
      </c>
      <c r="E44" s="394">
        <v>306</v>
      </c>
      <c r="F44" s="395">
        <v>26</v>
      </c>
      <c r="G44" s="396">
        <f t="shared" si="0"/>
        <v>2453</v>
      </c>
      <c r="H44" s="394">
        <v>2121</v>
      </c>
      <c r="I44" s="394">
        <v>0</v>
      </c>
      <c r="J44" s="394">
        <v>306</v>
      </c>
      <c r="K44" s="395">
        <v>26</v>
      </c>
      <c r="L44" s="396">
        <f t="shared" si="1"/>
        <v>2453</v>
      </c>
      <c r="M44" s="401">
        <f t="shared" si="2"/>
        <v>0</v>
      </c>
      <c r="N44" s="397"/>
    </row>
    <row r="45" spans="1:15" ht="15.75">
      <c r="A45" s="398"/>
      <c r="B45" s="399" t="s">
        <v>19</v>
      </c>
      <c r="C45" s="400">
        <f>SUM(C12:C44)</f>
        <v>30427</v>
      </c>
      <c r="D45" s="400">
        <f t="shared" ref="D45:G45" si="3">SUM(D12:D44)</f>
        <v>0</v>
      </c>
      <c r="E45" s="400">
        <v>461</v>
      </c>
      <c r="F45" s="400">
        <v>1422</v>
      </c>
      <c r="G45" s="400">
        <f t="shared" si="3"/>
        <v>32310</v>
      </c>
      <c r="H45" s="400">
        <f>SUM(H12:H44)</f>
        <v>30427</v>
      </c>
      <c r="I45" s="400">
        <f t="shared" ref="I45" si="4">SUM(I12:I44)</f>
        <v>0</v>
      </c>
      <c r="J45" s="400">
        <v>461</v>
      </c>
      <c r="K45" s="400">
        <v>1422</v>
      </c>
      <c r="L45" s="400">
        <f t="shared" ref="L45" si="5">SUM(L12:L44)</f>
        <v>32310</v>
      </c>
      <c r="M45" s="401">
        <f t="shared" si="2"/>
        <v>0</v>
      </c>
      <c r="N45" s="397"/>
      <c r="O45" s="455">
        <f>L45+'AT3B_cvrg(Insti)_UPY '!G44+'AT3C_cvrg(Insti)_UPY '!L44</f>
        <v>66493</v>
      </c>
    </row>
    <row r="46" spans="1: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5">
      <c r="A47" s="10" t="s">
        <v>8</v>
      </c>
    </row>
    <row r="48" spans="1:15">
      <c r="A48" t="s">
        <v>9</v>
      </c>
    </row>
    <row r="49" spans="1:15">
      <c r="A49" t="s">
        <v>10</v>
      </c>
      <c r="J49" s="11" t="s">
        <v>11</v>
      </c>
      <c r="K49" s="11"/>
      <c r="L49" s="11" t="s">
        <v>11</v>
      </c>
    </row>
    <row r="50" spans="1:15">
      <c r="A50" s="15" t="s">
        <v>433</v>
      </c>
      <c r="J50" s="11"/>
      <c r="K50" s="11"/>
      <c r="L50" s="11"/>
    </row>
    <row r="51" spans="1:15">
      <c r="C51" s="15" t="s">
        <v>434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1:15">
      <c r="C52" s="15"/>
      <c r="E52" s="12"/>
      <c r="F52" s="12"/>
      <c r="G52" s="12"/>
      <c r="H52" s="12"/>
      <c r="I52" s="12"/>
      <c r="J52" s="12"/>
      <c r="K52" s="12"/>
      <c r="L52" s="12"/>
      <c r="M52" s="12"/>
    </row>
    <row r="53" spans="1:15" ht="15.6" customHeight="1">
      <c r="A53" s="13" t="s">
        <v>12</v>
      </c>
      <c r="B53" s="13"/>
      <c r="C53" s="13"/>
      <c r="D53" s="13"/>
      <c r="E53" s="13"/>
      <c r="F53" s="13"/>
      <c r="G53" s="13"/>
      <c r="J53" s="14"/>
      <c r="K53" s="928"/>
      <c r="L53" s="929"/>
      <c r="M53" s="930" t="s">
        <v>13</v>
      </c>
      <c r="N53" s="930"/>
      <c r="O53" s="930"/>
    </row>
    <row r="54" spans="1:15" ht="15.6" customHeight="1">
      <c r="A54" s="928" t="s">
        <v>14</v>
      </c>
      <c r="B54" s="928"/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</row>
    <row r="55" spans="1:15" ht="15.75">
      <c r="A55" s="928" t="s">
        <v>15</v>
      </c>
      <c r="B55" s="928"/>
      <c r="C55" s="928"/>
      <c r="D55" s="928"/>
      <c r="E55" s="928"/>
      <c r="F55" s="928"/>
      <c r="G55" s="928"/>
      <c r="H55" s="928"/>
      <c r="I55" s="928"/>
      <c r="J55" s="928"/>
      <c r="K55" s="928"/>
      <c r="L55" s="928"/>
      <c r="M55" s="928"/>
      <c r="N55" s="928"/>
    </row>
    <row r="56" spans="1:15">
      <c r="K56" s="850" t="s">
        <v>87</v>
      </c>
      <c r="L56" s="850"/>
      <c r="M56" s="850"/>
      <c r="N56" s="850"/>
    </row>
    <row r="57" spans="1:15">
      <c r="A57" s="927"/>
      <c r="B57" s="927"/>
      <c r="C57" s="927"/>
      <c r="D57" s="927"/>
      <c r="E57" s="927"/>
      <c r="F57" s="927"/>
      <c r="G57" s="927"/>
      <c r="H57" s="927"/>
      <c r="I57" s="927"/>
      <c r="J57" s="927"/>
      <c r="K57" s="927"/>
      <c r="L57" s="927"/>
      <c r="M57" s="927"/>
    </row>
  </sheetData>
  <mergeCells count="19">
    <mergeCell ref="A57:M57"/>
    <mergeCell ref="K53:L53"/>
    <mergeCell ref="A55:N55"/>
    <mergeCell ref="A54:N54"/>
    <mergeCell ref="H9:L9"/>
    <mergeCell ref="M53:O53"/>
    <mergeCell ref="C9:G9"/>
    <mergeCell ref="K56:N56"/>
    <mergeCell ref="N9:N10"/>
    <mergeCell ref="L8:N8"/>
    <mergeCell ref="A7:B7"/>
    <mergeCell ref="M9:M10"/>
    <mergeCell ref="D1:I1"/>
    <mergeCell ref="A5:M5"/>
    <mergeCell ref="A3:M3"/>
    <mergeCell ref="A2:M2"/>
    <mergeCell ref="L1:M1"/>
    <mergeCell ref="B9:B10"/>
    <mergeCell ref="A9:A10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S57"/>
  <sheetViews>
    <sheetView view="pageBreakPreview" topLeftCell="A7" zoomScale="90" zoomScaleSheetLayoutView="90" workbookViewId="0">
      <selection activeCell="J28" sqref="J28"/>
    </sheetView>
  </sheetViews>
  <sheetFormatPr defaultRowHeight="12.75"/>
  <cols>
    <col min="1" max="1" width="7.5703125" customWidth="1"/>
    <col min="2" max="2" width="10.71093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>
      <c r="D1" s="851"/>
      <c r="E1" s="851"/>
      <c r="F1" s="851"/>
      <c r="G1" s="851"/>
      <c r="H1" s="851"/>
      <c r="I1" s="851"/>
      <c r="J1" s="851"/>
      <c r="K1" s="1"/>
      <c r="M1" s="110" t="s">
        <v>93</v>
      </c>
    </row>
    <row r="2" spans="1:19" ht="15">
      <c r="A2" s="932" t="s">
        <v>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</row>
    <row r="3" spans="1:19" ht="20.25">
      <c r="A3" s="848" t="s">
        <v>705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</row>
    <row r="4" spans="1:19" ht="11.25" customHeight="1"/>
    <row r="5" spans="1:19" ht="15.75">
      <c r="A5" s="849" t="s">
        <v>748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</row>
    <row r="7" spans="1:19">
      <c r="A7" s="850" t="s">
        <v>923</v>
      </c>
      <c r="B7" s="850"/>
      <c r="L7" s="923" t="s">
        <v>784</v>
      </c>
      <c r="M7" s="923"/>
      <c r="N7" s="923"/>
    </row>
    <row r="8" spans="1:19" ht="15.75" customHeight="1">
      <c r="A8" s="924" t="s">
        <v>2</v>
      </c>
      <c r="B8" s="924" t="s">
        <v>3</v>
      </c>
      <c r="C8" s="827" t="s">
        <v>4</v>
      </c>
      <c r="D8" s="827"/>
      <c r="E8" s="827"/>
      <c r="F8" s="827"/>
      <c r="G8" s="827"/>
      <c r="H8" s="827" t="s">
        <v>107</v>
      </c>
      <c r="I8" s="827"/>
      <c r="J8" s="827"/>
      <c r="K8" s="827"/>
      <c r="L8" s="827"/>
      <c r="M8" s="924" t="s">
        <v>137</v>
      </c>
      <c r="N8" s="844" t="s">
        <v>138</v>
      </c>
    </row>
    <row r="9" spans="1:19" ht="51">
      <c r="A9" s="925"/>
      <c r="B9" s="925"/>
      <c r="C9" s="5" t="s">
        <v>5</v>
      </c>
      <c r="D9" s="5" t="s">
        <v>6</v>
      </c>
      <c r="E9" s="5" t="s">
        <v>361</v>
      </c>
      <c r="F9" s="5" t="s">
        <v>105</v>
      </c>
      <c r="G9" s="5" t="s">
        <v>209</v>
      </c>
      <c r="H9" s="5" t="s">
        <v>5</v>
      </c>
      <c r="I9" s="5" t="s">
        <v>6</v>
      </c>
      <c r="J9" s="5" t="s">
        <v>361</v>
      </c>
      <c r="K9" s="5" t="s">
        <v>105</v>
      </c>
      <c r="L9" s="5" t="s">
        <v>208</v>
      </c>
      <c r="M9" s="925"/>
      <c r="N9" s="844"/>
      <c r="R9" s="9"/>
      <c r="S9" s="12"/>
    </row>
    <row r="10" spans="1:19" s="14" customForma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ht="14.25">
      <c r="A11" s="8">
        <v>1</v>
      </c>
      <c r="B11" s="385" t="s">
        <v>889</v>
      </c>
      <c r="C11" s="402">
        <v>1151</v>
      </c>
      <c r="D11" s="391">
        <v>0</v>
      </c>
      <c r="E11" s="402">
        <v>0</v>
      </c>
      <c r="F11" s="403">
        <v>6</v>
      </c>
      <c r="G11" s="404">
        <f>SUM(C11:F11)</f>
        <v>1157</v>
      </c>
      <c r="H11" s="402">
        <v>1151</v>
      </c>
      <c r="I11" s="391">
        <v>0</v>
      </c>
      <c r="J11" s="402">
        <v>0</v>
      </c>
      <c r="K11" s="403">
        <v>6</v>
      </c>
      <c r="L11" s="404">
        <f>SUM(H11:K11)</f>
        <v>1157</v>
      </c>
      <c r="M11" s="406">
        <f>G11-L11</f>
        <v>0</v>
      </c>
      <c r="N11" s="9"/>
    </row>
    <row r="12" spans="1:19" ht="14.25">
      <c r="A12" s="8">
        <v>2</v>
      </c>
      <c r="B12" s="385" t="s">
        <v>890</v>
      </c>
      <c r="C12" s="402">
        <v>1776</v>
      </c>
      <c r="D12" s="391">
        <v>0</v>
      </c>
      <c r="E12" s="402">
        <v>0</v>
      </c>
      <c r="F12" s="403">
        <v>3</v>
      </c>
      <c r="G12" s="404">
        <f t="shared" ref="G12:G43" si="0">SUM(C12:F12)</f>
        <v>1779</v>
      </c>
      <c r="H12" s="402">
        <v>1776</v>
      </c>
      <c r="I12" s="391">
        <v>0</v>
      </c>
      <c r="J12" s="402">
        <v>0</v>
      </c>
      <c r="K12" s="403">
        <v>3</v>
      </c>
      <c r="L12" s="404">
        <f t="shared" ref="L12:L43" si="1">SUM(H12:K12)</f>
        <v>1779</v>
      </c>
      <c r="M12" s="406">
        <f t="shared" ref="M12:M44" si="2">G12-L12</f>
        <v>0</v>
      </c>
      <c r="N12" s="9"/>
    </row>
    <row r="13" spans="1:19" ht="14.25">
      <c r="A13" s="8">
        <v>3</v>
      </c>
      <c r="B13" s="385" t="s">
        <v>891</v>
      </c>
      <c r="C13" s="402">
        <v>945</v>
      </c>
      <c r="D13" s="391">
        <v>0</v>
      </c>
      <c r="E13" s="402">
        <v>9</v>
      </c>
      <c r="F13" s="403">
        <v>1</v>
      </c>
      <c r="G13" s="404">
        <f t="shared" si="0"/>
        <v>955</v>
      </c>
      <c r="H13" s="402">
        <v>945</v>
      </c>
      <c r="I13" s="391">
        <v>0</v>
      </c>
      <c r="J13" s="402">
        <v>9</v>
      </c>
      <c r="K13" s="403">
        <v>1</v>
      </c>
      <c r="L13" s="404">
        <f t="shared" si="1"/>
        <v>955</v>
      </c>
      <c r="M13" s="406">
        <f t="shared" si="2"/>
        <v>0</v>
      </c>
      <c r="N13" s="9"/>
    </row>
    <row r="14" spans="1:19" ht="14.25">
      <c r="A14" s="8">
        <v>4</v>
      </c>
      <c r="B14" s="385" t="s">
        <v>892</v>
      </c>
      <c r="C14" s="402">
        <v>640</v>
      </c>
      <c r="D14" s="391">
        <v>0</v>
      </c>
      <c r="E14" s="402">
        <v>0</v>
      </c>
      <c r="F14" s="403">
        <v>9</v>
      </c>
      <c r="G14" s="404">
        <f t="shared" si="0"/>
        <v>649</v>
      </c>
      <c r="H14" s="402">
        <v>640</v>
      </c>
      <c r="I14" s="391">
        <v>0</v>
      </c>
      <c r="J14" s="402">
        <v>0</v>
      </c>
      <c r="K14" s="403">
        <v>9</v>
      </c>
      <c r="L14" s="404">
        <f t="shared" si="1"/>
        <v>649</v>
      </c>
      <c r="M14" s="406">
        <f t="shared" si="2"/>
        <v>0</v>
      </c>
      <c r="N14" s="9"/>
    </row>
    <row r="15" spans="1:19" ht="14.25">
      <c r="A15" s="8">
        <v>5</v>
      </c>
      <c r="B15" s="385" t="s">
        <v>893</v>
      </c>
      <c r="C15" s="402">
        <v>1827</v>
      </c>
      <c r="D15" s="391">
        <v>0</v>
      </c>
      <c r="E15" s="402">
        <v>0</v>
      </c>
      <c r="F15" s="403">
        <v>19</v>
      </c>
      <c r="G15" s="404">
        <f t="shared" si="0"/>
        <v>1846</v>
      </c>
      <c r="H15" s="402">
        <v>1827</v>
      </c>
      <c r="I15" s="391">
        <v>0</v>
      </c>
      <c r="J15" s="402">
        <v>0</v>
      </c>
      <c r="K15" s="403">
        <v>19</v>
      </c>
      <c r="L15" s="404">
        <f t="shared" si="1"/>
        <v>1846</v>
      </c>
      <c r="M15" s="406">
        <f t="shared" si="2"/>
        <v>0</v>
      </c>
      <c r="N15" s="9"/>
    </row>
    <row r="16" spans="1:19" ht="14.25">
      <c r="A16" s="8">
        <v>6</v>
      </c>
      <c r="B16" s="385" t="s">
        <v>894</v>
      </c>
      <c r="C16" s="402">
        <v>1023</v>
      </c>
      <c r="D16" s="391">
        <v>0</v>
      </c>
      <c r="E16" s="402">
        <v>0</v>
      </c>
      <c r="F16" s="403">
        <v>3</v>
      </c>
      <c r="G16" s="404">
        <f t="shared" si="0"/>
        <v>1026</v>
      </c>
      <c r="H16" s="402">
        <v>1023</v>
      </c>
      <c r="I16" s="391">
        <v>0</v>
      </c>
      <c r="J16" s="402">
        <v>0</v>
      </c>
      <c r="K16" s="403">
        <v>3</v>
      </c>
      <c r="L16" s="404">
        <f t="shared" si="1"/>
        <v>1026</v>
      </c>
      <c r="M16" s="406">
        <f t="shared" si="2"/>
        <v>0</v>
      </c>
      <c r="N16" s="9"/>
    </row>
    <row r="17" spans="1:14" ht="14.25">
      <c r="A17" s="8">
        <v>7</v>
      </c>
      <c r="B17" s="385" t="s">
        <v>895</v>
      </c>
      <c r="C17" s="402">
        <v>1474</v>
      </c>
      <c r="D17" s="391">
        <v>0</v>
      </c>
      <c r="E17" s="402">
        <v>0</v>
      </c>
      <c r="F17" s="403">
        <v>13</v>
      </c>
      <c r="G17" s="404">
        <f t="shared" si="0"/>
        <v>1487</v>
      </c>
      <c r="H17" s="402">
        <v>1474</v>
      </c>
      <c r="I17" s="391">
        <v>0</v>
      </c>
      <c r="J17" s="402">
        <v>0</v>
      </c>
      <c r="K17" s="403">
        <v>13</v>
      </c>
      <c r="L17" s="404">
        <f t="shared" si="1"/>
        <v>1487</v>
      </c>
      <c r="M17" s="406">
        <f t="shared" si="2"/>
        <v>0</v>
      </c>
      <c r="N17" s="9"/>
    </row>
    <row r="18" spans="1:14" ht="14.25">
      <c r="A18" s="8">
        <v>8</v>
      </c>
      <c r="B18" s="385" t="s">
        <v>896</v>
      </c>
      <c r="C18" s="402">
        <v>794</v>
      </c>
      <c r="D18" s="391">
        <v>0</v>
      </c>
      <c r="E18" s="402">
        <v>0</v>
      </c>
      <c r="F18" s="403">
        <v>5</v>
      </c>
      <c r="G18" s="404">
        <f t="shared" si="0"/>
        <v>799</v>
      </c>
      <c r="H18" s="402">
        <v>794</v>
      </c>
      <c r="I18" s="391">
        <v>0</v>
      </c>
      <c r="J18" s="402">
        <v>0</v>
      </c>
      <c r="K18" s="403">
        <v>5</v>
      </c>
      <c r="L18" s="404">
        <f t="shared" si="1"/>
        <v>799</v>
      </c>
      <c r="M18" s="406">
        <f t="shared" si="2"/>
        <v>0</v>
      </c>
      <c r="N18" s="9"/>
    </row>
    <row r="19" spans="1:14" ht="14.25">
      <c r="A19" s="8">
        <v>9</v>
      </c>
      <c r="B19" s="385" t="s">
        <v>897</v>
      </c>
      <c r="C19" s="402">
        <v>633</v>
      </c>
      <c r="D19" s="391">
        <v>0</v>
      </c>
      <c r="E19" s="402">
        <v>0</v>
      </c>
      <c r="F19" s="403">
        <v>3</v>
      </c>
      <c r="G19" s="404">
        <f t="shared" si="0"/>
        <v>636</v>
      </c>
      <c r="H19" s="402">
        <v>633</v>
      </c>
      <c r="I19" s="391">
        <v>0</v>
      </c>
      <c r="J19" s="402">
        <v>0</v>
      </c>
      <c r="K19" s="403">
        <v>3</v>
      </c>
      <c r="L19" s="404">
        <f t="shared" si="1"/>
        <v>636</v>
      </c>
      <c r="M19" s="406">
        <f t="shared" si="2"/>
        <v>0</v>
      </c>
      <c r="N19" s="9"/>
    </row>
    <row r="20" spans="1:14" ht="14.25">
      <c r="A20" s="8">
        <v>10</v>
      </c>
      <c r="B20" s="385" t="s">
        <v>898</v>
      </c>
      <c r="C20" s="402">
        <v>1020</v>
      </c>
      <c r="D20" s="391">
        <v>0</v>
      </c>
      <c r="E20" s="402">
        <v>0</v>
      </c>
      <c r="F20" s="403">
        <v>9</v>
      </c>
      <c r="G20" s="404">
        <f t="shared" si="0"/>
        <v>1029</v>
      </c>
      <c r="H20" s="402">
        <v>1020</v>
      </c>
      <c r="I20" s="391">
        <v>0</v>
      </c>
      <c r="J20" s="402">
        <v>0</v>
      </c>
      <c r="K20" s="403">
        <v>9</v>
      </c>
      <c r="L20" s="404">
        <f t="shared" si="1"/>
        <v>1029</v>
      </c>
      <c r="M20" s="406">
        <f t="shared" si="2"/>
        <v>0</v>
      </c>
      <c r="N20" s="9"/>
    </row>
    <row r="21" spans="1:14" ht="14.25">
      <c r="A21" s="8">
        <v>11</v>
      </c>
      <c r="B21" s="385" t="s">
        <v>899</v>
      </c>
      <c r="C21" s="402">
        <v>1005</v>
      </c>
      <c r="D21" s="391">
        <v>0</v>
      </c>
      <c r="E21" s="402">
        <v>0</v>
      </c>
      <c r="F21" s="403">
        <v>4</v>
      </c>
      <c r="G21" s="404">
        <f t="shared" si="0"/>
        <v>1009</v>
      </c>
      <c r="H21" s="402">
        <v>1005</v>
      </c>
      <c r="I21" s="391">
        <v>0</v>
      </c>
      <c r="J21" s="402">
        <v>0</v>
      </c>
      <c r="K21" s="403">
        <v>4</v>
      </c>
      <c r="L21" s="404">
        <f t="shared" si="1"/>
        <v>1009</v>
      </c>
      <c r="M21" s="406">
        <f t="shared" si="2"/>
        <v>0</v>
      </c>
      <c r="N21" s="9"/>
    </row>
    <row r="22" spans="1:14" ht="14.25">
      <c r="A22" s="8">
        <v>12</v>
      </c>
      <c r="B22" s="385" t="s">
        <v>900</v>
      </c>
      <c r="C22" s="402">
        <v>816</v>
      </c>
      <c r="D22" s="391">
        <v>0</v>
      </c>
      <c r="E22" s="402">
        <v>0</v>
      </c>
      <c r="F22" s="403">
        <v>1</v>
      </c>
      <c r="G22" s="404">
        <f t="shared" si="0"/>
        <v>817</v>
      </c>
      <c r="H22" s="402">
        <v>816</v>
      </c>
      <c r="I22" s="391">
        <v>0</v>
      </c>
      <c r="J22" s="402">
        <v>0</v>
      </c>
      <c r="K22" s="403">
        <v>1</v>
      </c>
      <c r="L22" s="404">
        <f t="shared" si="1"/>
        <v>817</v>
      </c>
      <c r="M22" s="406">
        <f t="shared" si="2"/>
        <v>0</v>
      </c>
      <c r="N22" s="9"/>
    </row>
    <row r="23" spans="1:14" ht="14.25">
      <c r="A23" s="8">
        <v>13</v>
      </c>
      <c r="B23" s="385" t="s">
        <v>901</v>
      </c>
      <c r="C23" s="402">
        <v>571</v>
      </c>
      <c r="D23" s="391">
        <v>0</v>
      </c>
      <c r="E23" s="402">
        <v>0</v>
      </c>
      <c r="F23" s="403">
        <v>1</v>
      </c>
      <c r="G23" s="404">
        <f t="shared" si="0"/>
        <v>572</v>
      </c>
      <c r="H23" s="402">
        <v>571</v>
      </c>
      <c r="I23" s="391">
        <v>0</v>
      </c>
      <c r="J23" s="402">
        <v>0</v>
      </c>
      <c r="K23" s="403">
        <v>1</v>
      </c>
      <c r="L23" s="404">
        <f t="shared" si="1"/>
        <v>572</v>
      </c>
      <c r="M23" s="406">
        <f t="shared" si="2"/>
        <v>0</v>
      </c>
      <c r="N23" s="9"/>
    </row>
    <row r="24" spans="1:14" ht="14.25">
      <c r="A24" s="8">
        <v>14</v>
      </c>
      <c r="B24" s="385" t="s">
        <v>902</v>
      </c>
      <c r="C24" s="402">
        <v>767</v>
      </c>
      <c r="D24" s="391">
        <v>0</v>
      </c>
      <c r="E24" s="402">
        <v>0</v>
      </c>
      <c r="F24" s="403">
        <v>2</v>
      </c>
      <c r="G24" s="404">
        <f t="shared" si="0"/>
        <v>769</v>
      </c>
      <c r="H24" s="402">
        <v>767</v>
      </c>
      <c r="I24" s="391">
        <v>0</v>
      </c>
      <c r="J24" s="402">
        <v>0</v>
      </c>
      <c r="K24" s="403">
        <v>2</v>
      </c>
      <c r="L24" s="404">
        <f t="shared" si="1"/>
        <v>769</v>
      </c>
      <c r="M24" s="406">
        <f t="shared" si="2"/>
        <v>0</v>
      </c>
      <c r="N24" s="9"/>
    </row>
    <row r="25" spans="1:14" ht="14.25">
      <c r="A25" s="8">
        <v>15</v>
      </c>
      <c r="B25" s="385" t="s">
        <v>903</v>
      </c>
      <c r="C25" s="402">
        <v>1036</v>
      </c>
      <c r="D25" s="391">
        <v>0</v>
      </c>
      <c r="E25" s="402">
        <v>0</v>
      </c>
      <c r="F25" s="403">
        <v>0</v>
      </c>
      <c r="G25" s="404">
        <f t="shared" si="0"/>
        <v>1036</v>
      </c>
      <c r="H25" s="402">
        <v>1036</v>
      </c>
      <c r="I25" s="391">
        <v>0</v>
      </c>
      <c r="J25" s="402">
        <v>0</v>
      </c>
      <c r="K25" s="403">
        <v>0</v>
      </c>
      <c r="L25" s="404">
        <f t="shared" si="1"/>
        <v>1036</v>
      </c>
      <c r="M25" s="406">
        <f t="shared" si="2"/>
        <v>0</v>
      </c>
      <c r="N25" s="9"/>
    </row>
    <row r="26" spans="1:14" ht="14.25">
      <c r="A26" s="8">
        <v>16</v>
      </c>
      <c r="B26" s="385" t="s">
        <v>904</v>
      </c>
      <c r="C26" s="402">
        <v>763</v>
      </c>
      <c r="D26" s="391">
        <v>0</v>
      </c>
      <c r="E26" s="402">
        <v>0</v>
      </c>
      <c r="F26" s="403">
        <v>3</v>
      </c>
      <c r="G26" s="404">
        <f t="shared" si="0"/>
        <v>766</v>
      </c>
      <c r="H26" s="402">
        <v>763</v>
      </c>
      <c r="I26" s="391">
        <v>0</v>
      </c>
      <c r="J26" s="402">
        <v>0</v>
      </c>
      <c r="K26" s="403">
        <v>3</v>
      </c>
      <c r="L26" s="404">
        <f t="shared" si="1"/>
        <v>766</v>
      </c>
      <c r="M26" s="406">
        <f t="shared" si="2"/>
        <v>0</v>
      </c>
      <c r="N26" s="9"/>
    </row>
    <row r="27" spans="1:14" ht="14.25">
      <c r="A27" s="8">
        <v>17</v>
      </c>
      <c r="B27" s="385" t="s">
        <v>905</v>
      </c>
      <c r="C27" s="402">
        <v>1953</v>
      </c>
      <c r="D27" s="391">
        <v>0</v>
      </c>
      <c r="E27" s="402">
        <v>0</v>
      </c>
      <c r="F27" s="403">
        <v>8</v>
      </c>
      <c r="G27" s="404">
        <f t="shared" si="0"/>
        <v>1961</v>
      </c>
      <c r="H27" s="402">
        <v>1953</v>
      </c>
      <c r="I27" s="391">
        <v>0</v>
      </c>
      <c r="J27" s="402">
        <v>0</v>
      </c>
      <c r="K27" s="403">
        <v>8</v>
      </c>
      <c r="L27" s="404">
        <f t="shared" si="1"/>
        <v>1961</v>
      </c>
      <c r="M27" s="406">
        <f t="shared" si="2"/>
        <v>0</v>
      </c>
      <c r="N27" s="9"/>
    </row>
    <row r="28" spans="1:14" ht="14.25">
      <c r="A28" s="8">
        <v>18</v>
      </c>
      <c r="B28" s="385" t="s">
        <v>906</v>
      </c>
      <c r="C28" s="402">
        <v>462</v>
      </c>
      <c r="D28" s="391">
        <v>0</v>
      </c>
      <c r="E28" s="402">
        <v>0</v>
      </c>
      <c r="F28" s="403">
        <v>7</v>
      </c>
      <c r="G28" s="404">
        <f t="shared" si="0"/>
        <v>469</v>
      </c>
      <c r="H28" s="402">
        <v>462</v>
      </c>
      <c r="I28" s="391">
        <v>0</v>
      </c>
      <c r="J28" s="402">
        <v>0</v>
      </c>
      <c r="K28" s="403">
        <v>7</v>
      </c>
      <c r="L28" s="404">
        <f t="shared" si="1"/>
        <v>469</v>
      </c>
      <c r="M28" s="406">
        <f t="shared" si="2"/>
        <v>0</v>
      </c>
      <c r="N28" s="9"/>
    </row>
    <row r="29" spans="1:14" ht="14.25">
      <c r="A29" s="8">
        <v>19</v>
      </c>
      <c r="B29" s="385" t="s">
        <v>907</v>
      </c>
      <c r="C29" s="402">
        <v>917</v>
      </c>
      <c r="D29" s="391">
        <v>0</v>
      </c>
      <c r="E29" s="402">
        <v>0</v>
      </c>
      <c r="F29" s="403">
        <v>3</v>
      </c>
      <c r="G29" s="404">
        <f t="shared" si="0"/>
        <v>920</v>
      </c>
      <c r="H29" s="402">
        <v>917</v>
      </c>
      <c r="I29" s="391">
        <v>0</v>
      </c>
      <c r="J29" s="402">
        <v>0</v>
      </c>
      <c r="K29" s="403">
        <v>3</v>
      </c>
      <c r="L29" s="404">
        <f t="shared" si="1"/>
        <v>920</v>
      </c>
      <c r="M29" s="406">
        <f t="shared" si="2"/>
        <v>0</v>
      </c>
      <c r="N29" s="9"/>
    </row>
    <row r="30" spans="1:14" ht="14.25">
      <c r="A30" s="8">
        <v>20</v>
      </c>
      <c r="B30" s="385" t="s">
        <v>908</v>
      </c>
      <c r="C30" s="402">
        <v>920</v>
      </c>
      <c r="D30" s="391">
        <v>0</v>
      </c>
      <c r="E30" s="402">
        <v>3</v>
      </c>
      <c r="F30" s="403">
        <v>3</v>
      </c>
      <c r="G30" s="404">
        <f t="shared" si="0"/>
        <v>926</v>
      </c>
      <c r="H30" s="402">
        <v>920</v>
      </c>
      <c r="I30" s="391">
        <v>0</v>
      </c>
      <c r="J30" s="402">
        <v>3</v>
      </c>
      <c r="K30" s="403">
        <v>3</v>
      </c>
      <c r="L30" s="404">
        <f t="shared" si="1"/>
        <v>926</v>
      </c>
      <c r="M30" s="406">
        <f t="shared" si="2"/>
        <v>0</v>
      </c>
      <c r="N30" s="9"/>
    </row>
    <row r="31" spans="1:14" ht="14.25">
      <c r="A31" s="8">
        <v>21</v>
      </c>
      <c r="B31" s="385" t="s">
        <v>909</v>
      </c>
      <c r="C31" s="402">
        <v>1033</v>
      </c>
      <c r="D31" s="391">
        <v>0</v>
      </c>
      <c r="E31" s="402">
        <v>0</v>
      </c>
      <c r="F31" s="403">
        <v>4</v>
      </c>
      <c r="G31" s="404">
        <f t="shared" si="0"/>
        <v>1037</v>
      </c>
      <c r="H31" s="402">
        <v>1033</v>
      </c>
      <c r="I31" s="391">
        <v>0</v>
      </c>
      <c r="J31" s="402">
        <v>0</v>
      </c>
      <c r="K31" s="403">
        <v>4</v>
      </c>
      <c r="L31" s="404">
        <f t="shared" si="1"/>
        <v>1037</v>
      </c>
      <c r="M31" s="406">
        <f t="shared" si="2"/>
        <v>0</v>
      </c>
      <c r="N31" s="9"/>
    </row>
    <row r="32" spans="1:14" ht="14.25">
      <c r="A32" s="8">
        <v>22</v>
      </c>
      <c r="B32" s="385" t="s">
        <v>910</v>
      </c>
      <c r="C32" s="402">
        <v>1477</v>
      </c>
      <c r="D32" s="391">
        <v>0</v>
      </c>
      <c r="E32" s="402">
        <v>0</v>
      </c>
      <c r="F32" s="403">
        <v>21</v>
      </c>
      <c r="G32" s="404">
        <f t="shared" si="0"/>
        <v>1498</v>
      </c>
      <c r="H32" s="402">
        <v>1477</v>
      </c>
      <c r="I32" s="391">
        <v>0</v>
      </c>
      <c r="J32" s="402">
        <v>0</v>
      </c>
      <c r="K32" s="403">
        <v>21</v>
      </c>
      <c r="L32" s="404">
        <f t="shared" si="1"/>
        <v>1498</v>
      </c>
      <c r="M32" s="406">
        <f t="shared" si="2"/>
        <v>0</v>
      </c>
      <c r="N32" s="9"/>
    </row>
    <row r="33" spans="1:14" ht="14.25">
      <c r="A33" s="8">
        <v>23</v>
      </c>
      <c r="B33" s="385" t="s">
        <v>911</v>
      </c>
      <c r="C33" s="402">
        <v>688</v>
      </c>
      <c r="D33" s="391">
        <v>0</v>
      </c>
      <c r="E33" s="402">
        <v>0</v>
      </c>
      <c r="F33" s="403">
        <v>0</v>
      </c>
      <c r="G33" s="404">
        <f t="shared" si="0"/>
        <v>688</v>
      </c>
      <c r="H33" s="402">
        <v>688</v>
      </c>
      <c r="I33" s="391">
        <v>0</v>
      </c>
      <c r="J33" s="402">
        <v>0</v>
      </c>
      <c r="K33" s="403">
        <v>0</v>
      </c>
      <c r="L33" s="404">
        <f t="shared" si="1"/>
        <v>688</v>
      </c>
      <c r="M33" s="406">
        <f t="shared" si="2"/>
        <v>0</v>
      </c>
      <c r="N33" s="9"/>
    </row>
    <row r="34" spans="1:14" ht="14.25">
      <c r="A34" s="8">
        <v>24</v>
      </c>
      <c r="B34" s="385" t="s">
        <v>912</v>
      </c>
      <c r="C34" s="402">
        <v>708</v>
      </c>
      <c r="D34" s="391">
        <v>0</v>
      </c>
      <c r="E34" s="402">
        <v>0</v>
      </c>
      <c r="F34" s="403">
        <v>8</v>
      </c>
      <c r="G34" s="404">
        <f t="shared" si="0"/>
        <v>716</v>
      </c>
      <c r="H34" s="402">
        <v>708</v>
      </c>
      <c r="I34" s="391">
        <v>0</v>
      </c>
      <c r="J34" s="402">
        <v>0</v>
      </c>
      <c r="K34" s="403">
        <v>8</v>
      </c>
      <c r="L34" s="404">
        <f t="shared" si="1"/>
        <v>716</v>
      </c>
      <c r="M34" s="406">
        <f t="shared" si="2"/>
        <v>0</v>
      </c>
      <c r="N34" s="9"/>
    </row>
    <row r="35" spans="1:14" ht="14.25">
      <c r="A35" s="8">
        <v>25</v>
      </c>
      <c r="B35" s="385" t="s">
        <v>913</v>
      </c>
      <c r="C35" s="402">
        <v>1652</v>
      </c>
      <c r="D35" s="391">
        <v>0</v>
      </c>
      <c r="E35" s="402">
        <v>0</v>
      </c>
      <c r="F35" s="403">
        <v>28</v>
      </c>
      <c r="G35" s="404">
        <f t="shared" si="0"/>
        <v>1680</v>
      </c>
      <c r="H35" s="402">
        <v>1652</v>
      </c>
      <c r="I35" s="391">
        <v>0</v>
      </c>
      <c r="J35" s="402">
        <v>0</v>
      </c>
      <c r="K35" s="403">
        <v>28</v>
      </c>
      <c r="L35" s="404">
        <f t="shared" si="1"/>
        <v>1680</v>
      </c>
      <c r="M35" s="406">
        <f t="shared" si="2"/>
        <v>0</v>
      </c>
      <c r="N35" s="9"/>
    </row>
    <row r="36" spans="1:14" ht="14.25">
      <c r="A36" s="8">
        <v>26</v>
      </c>
      <c r="B36" s="385" t="s">
        <v>914</v>
      </c>
      <c r="C36" s="402">
        <v>1197</v>
      </c>
      <c r="D36" s="391">
        <v>0</v>
      </c>
      <c r="E36" s="402">
        <v>0</v>
      </c>
      <c r="F36" s="403">
        <v>4</v>
      </c>
      <c r="G36" s="404">
        <f t="shared" si="0"/>
        <v>1201</v>
      </c>
      <c r="H36" s="402">
        <v>1197</v>
      </c>
      <c r="I36" s="391">
        <v>0</v>
      </c>
      <c r="J36" s="402">
        <v>0</v>
      </c>
      <c r="K36" s="403">
        <v>4</v>
      </c>
      <c r="L36" s="404">
        <f t="shared" si="1"/>
        <v>1201</v>
      </c>
      <c r="M36" s="406">
        <f t="shared" si="2"/>
        <v>0</v>
      </c>
      <c r="N36" s="9"/>
    </row>
    <row r="37" spans="1:14" ht="14.25">
      <c r="A37" s="8">
        <v>27</v>
      </c>
      <c r="B37" s="385" t="s">
        <v>915</v>
      </c>
      <c r="C37" s="402">
        <v>512</v>
      </c>
      <c r="D37" s="391">
        <v>0</v>
      </c>
      <c r="E37" s="402">
        <v>0</v>
      </c>
      <c r="F37" s="403">
        <v>2</v>
      </c>
      <c r="G37" s="404">
        <f t="shared" si="0"/>
        <v>514</v>
      </c>
      <c r="H37" s="402">
        <v>512</v>
      </c>
      <c r="I37" s="391">
        <v>0</v>
      </c>
      <c r="J37" s="402">
        <v>0</v>
      </c>
      <c r="K37" s="403">
        <v>2</v>
      </c>
      <c r="L37" s="404">
        <f t="shared" si="1"/>
        <v>514</v>
      </c>
      <c r="M37" s="406">
        <f t="shared" si="2"/>
        <v>0</v>
      </c>
      <c r="N37" s="9"/>
    </row>
    <row r="38" spans="1:14" ht="14.25">
      <c r="A38" s="8">
        <v>28</v>
      </c>
      <c r="B38" s="385" t="s">
        <v>916</v>
      </c>
      <c r="C38" s="402">
        <v>831</v>
      </c>
      <c r="D38" s="391">
        <v>0</v>
      </c>
      <c r="E38" s="402">
        <v>0</v>
      </c>
      <c r="F38" s="403">
        <v>0</v>
      </c>
      <c r="G38" s="404">
        <f t="shared" si="0"/>
        <v>831</v>
      </c>
      <c r="H38" s="402">
        <v>831</v>
      </c>
      <c r="I38" s="391">
        <v>0</v>
      </c>
      <c r="J38" s="402">
        <v>0</v>
      </c>
      <c r="K38" s="403">
        <v>0</v>
      </c>
      <c r="L38" s="404">
        <f t="shared" si="1"/>
        <v>831</v>
      </c>
      <c r="M38" s="406">
        <f t="shared" si="2"/>
        <v>0</v>
      </c>
      <c r="N38" s="9"/>
    </row>
    <row r="39" spans="1:14" ht="14.25">
      <c r="A39" s="8">
        <v>29</v>
      </c>
      <c r="B39" s="385" t="s">
        <v>917</v>
      </c>
      <c r="C39" s="402">
        <v>529</v>
      </c>
      <c r="D39" s="391">
        <v>0</v>
      </c>
      <c r="E39" s="402">
        <v>0</v>
      </c>
      <c r="F39" s="403">
        <v>10</v>
      </c>
      <c r="G39" s="404">
        <f t="shared" si="0"/>
        <v>539</v>
      </c>
      <c r="H39" s="402">
        <v>529</v>
      </c>
      <c r="I39" s="391">
        <v>0</v>
      </c>
      <c r="J39" s="402">
        <v>0</v>
      </c>
      <c r="K39" s="403">
        <v>10</v>
      </c>
      <c r="L39" s="404">
        <f t="shared" si="1"/>
        <v>539</v>
      </c>
      <c r="M39" s="406">
        <f t="shared" si="2"/>
        <v>0</v>
      </c>
      <c r="N39" s="9"/>
    </row>
    <row r="40" spans="1:14" ht="14.25">
      <c r="A40" s="8">
        <v>30</v>
      </c>
      <c r="B40" s="385" t="s">
        <v>918</v>
      </c>
      <c r="C40" s="402">
        <v>1300</v>
      </c>
      <c r="D40" s="391">
        <v>0</v>
      </c>
      <c r="E40" s="402">
        <v>0</v>
      </c>
      <c r="F40" s="403">
        <v>13</v>
      </c>
      <c r="G40" s="404">
        <f t="shared" si="0"/>
        <v>1313</v>
      </c>
      <c r="H40" s="402">
        <v>1300</v>
      </c>
      <c r="I40" s="391">
        <v>0</v>
      </c>
      <c r="J40" s="402">
        <v>0</v>
      </c>
      <c r="K40" s="403">
        <v>13</v>
      </c>
      <c r="L40" s="404">
        <f t="shared" si="1"/>
        <v>1313</v>
      </c>
      <c r="M40" s="406">
        <f t="shared" si="2"/>
        <v>0</v>
      </c>
      <c r="N40" s="9"/>
    </row>
    <row r="41" spans="1:14" ht="14.25">
      <c r="A41" s="8">
        <v>31</v>
      </c>
      <c r="B41" s="385" t="s">
        <v>919</v>
      </c>
      <c r="C41" s="402">
        <v>461</v>
      </c>
      <c r="D41" s="391">
        <v>0</v>
      </c>
      <c r="E41" s="402">
        <v>0</v>
      </c>
      <c r="F41" s="403">
        <v>1</v>
      </c>
      <c r="G41" s="404">
        <f t="shared" si="0"/>
        <v>462</v>
      </c>
      <c r="H41" s="402">
        <v>461</v>
      </c>
      <c r="I41" s="391">
        <v>0</v>
      </c>
      <c r="J41" s="402">
        <v>0</v>
      </c>
      <c r="K41" s="403">
        <v>1</v>
      </c>
      <c r="L41" s="404">
        <f t="shared" si="1"/>
        <v>462</v>
      </c>
      <c r="M41" s="406">
        <f t="shared" si="2"/>
        <v>0</v>
      </c>
      <c r="N41" s="9"/>
    </row>
    <row r="42" spans="1:14" ht="14.25">
      <c r="A42" s="8">
        <v>32</v>
      </c>
      <c r="B42" s="385" t="s">
        <v>920</v>
      </c>
      <c r="C42" s="402">
        <v>824</v>
      </c>
      <c r="D42" s="391">
        <v>0</v>
      </c>
      <c r="E42" s="402">
        <v>0</v>
      </c>
      <c r="F42" s="403">
        <v>16</v>
      </c>
      <c r="G42" s="404">
        <f t="shared" si="0"/>
        <v>840</v>
      </c>
      <c r="H42" s="402">
        <v>824</v>
      </c>
      <c r="I42" s="391">
        <v>0</v>
      </c>
      <c r="J42" s="402">
        <v>0</v>
      </c>
      <c r="K42" s="403">
        <v>16</v>
      </c>
      <c r="L42" s="404">
        <f t="shared" si="1"/>
        <v>840</v>
      </c>
      <c r="M42" s="406">
        <f t="shared" si="2"/>
        <v>0</v>
      </c>
      <c r="N42" s="9"/>
    </row>
    <row r="43" spans="1:14" ht="14.25">
      <c r="A43" s="8">
        <v>33</v>
      </c>
      <c r="B43" s="385" t="s">
        <v>921</v>
      </c>
      <c r="C43" s="402">
        <v>1498</v>
      </c>
      <c r="D43" s="391">
        <v>0</v>
      </c>
      <c r="E43" s="402">
        <v>12</v>
      </c>
      <c r="F43" s="403">
        <v>4</v>
      </c>
      <c r="G43" s="404">
        <f t="shared" si="0"/>
        <v>1514</v>
      </c>
      <c r="H43" s="402">
        <v>1498</v>
      </c>
      <c r="I43" s="391">
        <v>0</v>
      </c>
      <c r="J43" s="402">
        <v>12</v>
      </c>
      <c r="K43" s="403">
        <v>4</v>
      </c>
      <c r="L43" s="404">
        <f t="shared" si="1"/>
        <v>1514</v>
      </c>
      <c r="M43" s="406">
        <f t="shared" si="2"/>
        <v>0</v>
      </c>
      <c r="N43" s="9"/>
    </row>
    <row r="44" spans="1:14">
      <c r="A44" s="9"/>
      <c r="B44" s="3" t="s">
        <v>19</v>
      </c>
      <c r="C44" s="405">
        <v>33203</v>
      </c>
      <c r="D44" s="391">
        <v>0</v>
      </c>
      <c r="E44" s="405">
        <v>24</v>
      </c>
      <c r="F44" s="405">
        <v>214</v>
      </c>
      <c r="G44" s="405">
        <f t="shared" ref="G44" si="3">SUM(G11:G43)</f>
        <v>33441</v>
      </c>
      <c r="H44" s="405">
        <v>33203</v>
      </c>
      <c r="I44" s="391">
        <v>0</v>
      </c>
      <c r="J44" s="405">
        <v>24</v>
      </c>
      <c r="K44" s="405">
        <v>214</v>
      </c>
      <c r="L44" s="405">
        <f t="shared" ref="L44" si="4">SUM(L11:L43)</f>
        <v>33441</v>
      </c>
      <c r="M44" s="406">
        <f t="shared" si="2"/>
        <v>0</v>
      </c>
      <c r="N44" s="9"/>
    </row>
    <row r="45" spans="1:14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>
      <c r="A46" s="10" t="s">
        <v>8</v>
      </c>
    </row>
    <row r="47" spans="1:14">
      <c r="A47" t="s">
        <v>9</v>
      </c>
    </row>
    <row r="48" spans="1:14">
      <c r="A48" t="s">
        <v>10</v>
      </c>
      <c r="L48" s="11" t="s">
        <v>11</v>
      </c>
      <c r="M48" s="11"/>
      <c r="N48" s="11" t="s">
        <v>11</v>
      </c>
    </row>
    <row r="49" spans="1:14">
      <c r="A49" s="15" t="s">
        <v>433</v>
      </c>
      <c r="J49" s="11"/>
      <c r="K49" s="11"/>
      <c r="L49" s="11"/>
    </row>
    <row r="50" spans="1:14">
      <c r="C50" s="15" t="s">
        <v>434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4"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5.75" customHeight="1">
      <c r="A53" s="13" t="s">
        <v>12</v>
      </c>
      <c r="B53" s="13"/>
      <c r="C53" s="13"/>
      <c r="D53" s="13"/>
      <c r="E53" s="13"/>
      <c r="F53" s="13"/>
      <c r="G53" s="13"/>
      <c r="H53" s="13"/>
      <c r="L53" s="928" t="s">
        <v>13</v>
      </c>
      <c r="M53" s="928"/>
      <c r="N53" s="928"/>
    </row>
    <row r="54" spans="1:14" ht="15.75" customHeight="1">
      <c r="A54" s="928" t="s">
        <v>14</v>
      </c>
      <c r="B54" s="928"/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</row>
    <row r="55" spans="1:14" ht="15.75">
      <c r="A55" s="928" t="s">
        <v>15</v>
      </c>
      <c r="B55" s="928"/>
      <c r="C55" s="928"/>
      <c r="D55" s="928"/>
      <c r="E55" s="928"/>
      <c r="F55" s="928"/>
      <c r="G55" s="928"/>
      <c r="H55" s="928"/>
      <c r="I55" s="928"/>
      <c r="J55" s="928"/>
      <c r="K55" s="928"/>
      <c r="L55" s="928"/>
      <c r="M55" s="928"/>
      <c r="N55" s="928"/>
    </row>
    <row r="56" spans="1:14">
      <c r="L56" s="850"/>
      <c r="M56" s="850"/>
      <c r="N56" s="850"/>
    </row>
    <row r="57" spans="1:14">
      <c r="A57" s="927"/>
      <c r="B57" s="927"/>
      <c r="C57" s="927"/>
      <c r="D57" s="927"/>
      <c r="E57" s="927"/>
      <c r="F57" s="927"/>
      <c r="G57" s="927"/>
      <c r="H57" s="927"/>
      <c r="I57" s="927"/>
      <c r="J57" s="927"/>
      <c r="K57" s="927"/>
      <c r="L57" s="927"/>
      <c r="M57" s="927"/>
      <c r="N57" s="927"/>
    </row>
  </sheetData>
  <mergeCells count="17">
    <mergeCell ref="A57:N57"/>
    <mergeCell ref="L53:N53"/>
    <mergeCell ref="A54:N54"/>
    <mergeCell ref="M8:M9"/>
    <mergeCell ref="N8:N9"/>
    <mergeCell ref="L56:N56"/>
    <mergeCell ref="A55:N55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honeticPr fontId="0" type="noConversion"/>
  <printOptions horizontalCentered="1"/>
  <pageMargins left="0.70866141732283472" right="0.70866141732283472" top="0.23622047244094491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65</vt:i4>
      </vt:variant>
    </vt:vector>
  </HeadingPairs>
  <TitlesOfParts>
    <vt:vector size="135" baseType="lpstr">
      <vt:lpstr>First-Page</vt:lpstr>
      <vt:lpstr>Contents</vt:lpstr>
      <vt:lpstr>Sheet1</vt:lpstr>
      <vt:lpstr>AT-1-Gen_Info </vt:lpstr>
      <vt:lpstr>AT-2-S1 BUDGET</vt:lpstr>
      <vt:lpstr>AT_2A_fundflow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T5C_Drought_PLAN_vs_PRFM  (2)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AT29_Replacement 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'AT-22'!Print_Area</vt:lpstr>
      <vt:lpstr>'AT-24'!Print_Area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'AT29_Replacement KD '!Print_Area</vt:lpstr>
      <vt:lpstr>'AT-2-S1 BUDGET'!Print_Area</vt:lpstr>
      <vt:lpstr>'AT-3'!Print_Area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'First-Page'!Print_Area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'T5C_Drought_PLAN_vs_PRFM  (2)'!Print_Area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2019-05-30T07:03:29Z</cp:lastPrinted>
  <dcterms:created xsi:type="dcterms:W3CDTF">1996-10-14T23:33:28Z</dcterms:created>
  <dcterms:modified xsi:type="dcterms:W3CDTF">2019-06-12T04:07:34Z</dcterms:modified>
</cp:coreProperties>
</file>